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lkrantz\OneDrive\Job\"/>
    </mc:Choice>
  </mc:AlternateContent>
  <xr:revisionPtr revIDLastSave="0" documentId="8_{1D02AE05-E951-4A97-8121-4C880858CAAA}" xr6:coauthVersionLast="47" xr6:coauthVersionMax="47" xr10:uidLastSave="{00000000-0000-0000-0000-000000000000}"/>
  <bookViews>
    <workbookView xWindow="-16650" yWindow="-16320" windowWidth="29040" windowHeight="15840" tabRatio="665" activeTab="7" xr2:uid="{00000000-000D-0000-FFFF-FFFF00000000}"/>
  </bookViews>
  <sheets>
    <sheet name="Negotiation Tool" sheetId="14" r:id="rId1"/>
    <sheet name="Calibration" sheetId="7" r:id="rId2"/>
    <sheet name="Sheet2" sheetId="16" state="hidden" r:id="rId3"/>
    <sheet name="Effective Rates" sheetId="1" r:id="rId4"/>
    <sheet name="Sheet3" sheetId="13" state="hidden" r:id="rId5"/>
    <sheet name="Sheet1" sheetId="6" state="hidden" r:id="rId6"/>
    <sheet name="Cat 100-200" sheetId="9" r:id="rId7"/>
    <sheet name="Budget Summary" sheetId="3" r:id="rId8"/>
    <sheet name="Estimation Tool" sheetId="15" state="hidden" r:id="rId9"/>
    <sheet name="Translation Tool" sheetId="10" state="hidden" r:id="rId10"/>
    <sheet name="Vehicle Operational Cost" sheetId="4"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 i="7" l="1"/>
  <c r="D41" i="7"/>
  <c r="C41" i="7"/>
  <c r="B16" i="14" s="1"/>
  <c r="B18" i="15" s="1"/>
  <c r="B25" i="15" s="1"/>
  <c r="D27" i="7"/>
  <c r="C4" i="15"/>
  <c r="C5" i="15"/>
  <c r="C6" i="15"/>
  <c r="C7" i="15"/>
  <c r="C8" i="15"/>
  <c r="C15" i="15"/>
  <c r="C9" i="15"/>
  <c r="C10" i="15"/>
  <c r="D22" i="15"/>
  <c r="E22" i="15" s="1"/>
  <c r="E14" i="14"/>
  <c r="E17" i="14" s="1"/>
  <c r="E18" i="14" s="1"/>
  <c r="D14" i="14"/>
  <c r="D17" i="14" s="1"/>
  <c r="D18" i="14" s="1"/>
  <c r="C14" i="14"/>
  <c r="C17" i="14" s="1"/>
  <c r="C18" i="14" s="1"/>
  <c r="C10" i="14"/>
  <c r="C3" i="6"/>
  <c r="C2" i="6"/>
  <c r="H21" i="6"/>
  <c r="S21" i="3"/>
  <c r="T21" i="3" s="1"/>
  <c r="S22" i="3"/>
  <c r="T22" i="3" s="1"/>
  <c r="S23" i="3"/>
  <c r="T23" i="3"/>
  <c r="S24" i="3"/>
  <c r="T24" i="3"/>
  <c r="T20" i="3"/>
  <c r="S20" i="3"/>
  <c r="C3" i="13"/>
  <c r="S11" i="1"/>
  <c r="T11" i="1"/>
  <c r="AD11" i="1"/>
  <c r="AD12" i="1" s="1"/>
  <c r="AD13" i="1" s="1"/>
  <c r="AG11" i="1"/>
  <c r="AH11" i="1" s="1"/>
  <c r="AL11" i="1"/>
  <c r="S12" i="1"/>
  <c r="T12" i="1"/>
  <c r="AG12" i="1"/>
  <c r="AH12" i="1" s="1"/>
  <c r="AL12" i="1"/>
  <c r="S13" i="1"/>
  <c r="T13" i="1"/>
  <c r="AG13" i="1"/>
  <c r="AH13" i="1" s="1"/>
  <c r="AL13" i="1"/>
  <c r="E14" i="1"/>
  <c r="E7" i="1"/>
  <c r="H17" i="6"/>
  <c r="C21" i="15" l="1"/>
  <c r="C23" i="15" s="1"/>
  <c r="C26" i="15" s="1"/>
  <c r="C27" i="15" s="1"/>
  <c r="E15" i="14"/>
  <c r="E16" i="14" s="1"/>
  <c r="E18" i="15" s="1"/>
  <c r="D16" i="15"/>
  <c r="D19" i="15" s="1"/>
  <c r="D20" i="15" s="1"/>
  <c r="C16" i="15"/>
  <c r="C19" i="15" s="1"/>
  <c r="C20" i="15" s="1"/>
  <c r="E16" i="15"/>
  <c r="E19" i="15" s="1"/>
  <c r="E20" i="15" s="1"/>
  <c r="C15" i="14"/>
  <c r="C16" i="14" s="1"/>
  <c r="C18" i="15" s="1"/>
  <c r="D15" i="14"/>
  <c r="D16" i="14" s="1"/>
  <c r="D18" i="15" s="1"/>
  <c r="C11" i="15"/>
  <c r="T14" i="1"/>
  <c r="C9" i="6"/>
  <c r="S14" i="1"/>
  <c r="AL14" i="1"/>
  <c r="G14" i="1" s="1"/>
  <c r="AI13" i="1"/>
  <c r="AH14" i="1"/>
  <c r="AG14" i="1"/>
  <c r="F14" i="1" s="1"/>
  <c r="AI12" i="1"/>
  <c r="AI11" i="1"/>
  <c r="AI45" i="1"/>
  <c r="F45" i="1" s="1"/>
  <c r="D21" i="15" l="1"/>
  <c r="E21" i="15" s="1"/>
  <c r="E23" i="15" s="1"/>
  <c r="E26" i="15" s="1"/>
  <c r="E27" i="15" s="1"/>
  <c r="D17" i="15"/>
  <c r="C24" i="15"/>
  <c r="C25" i="15" s="1"/>
  <c r="C17" i="15"/>
  <c r="E17" i="15"/>
  <c r="U14" i="1"/>
  <c r="AI14" i="1"/>
  <c r="AI46" i="1"/>
  <c r="F46" i="1" s="1"/>
  <c r="D23" i="15" l="1"/>
  <c r="D26" i="15" s="1"/>
  <c r="D27" i="15" s="1"/>
  <c r="E24" i="15"/>
  <c r="E25" i="15" s="1"/>
  <c r="AI47" i="1"/>
  <c r="F47" i="1" s="1"/>
  <c r="P11" i="10"/>
  <c r="Q11" i="10" s="1"/>
  <c r="R11" i="10" s="1"/>
  <c r="E11" i="10" s="1"/>
  <c r="D24" i="15" l="1"/>
  <c r="D25" i="15" s="1"/>
  <c r="D11" i="10"/>
  <c r="AI48" i="1"/>
  <c r="AI49" i="1" s="1"/>
  <c r="F36" i="10"/>
  <c r="F37" i="10"/>
  <c r="F38" i="10"/>
  <c r="F39" i="10"/>
  <c r="F40" i="10"/>
  <c r="F41" i="10"/>
  <c r="I36" i="10"/>
  <c r="I37" i="10"/>
  <c r="I38" i="10"/>
  <c r="I39" i="10"/>
  <c r="I40" i="10"/>
  <c r="I41" i="10"/>
  <c r="J36" i="10"/>
  <c r="K36" i="10"/>
  <c r="J37" i="10"/>
  <c r="K37" i="10"/>
  <c r="J38" i="10"/>
  <c r="K38" i="10"/>
  <c r="J39" i="10"/>
  <c r="K39" i="10"/>
  <c r="J40" i="10"/>
  <c r="K40" i="10"/>
  <c r="J41" i="10"/>
  <c r="K41" i="10"/>
  <c r="H36" i="10"/>
  <c r="H37" i="10"/>
  <c r="H38" i="10"/>
  <c r="H39" i="10"/>
  <c r="H40" i="10"/>
  <c r="H41" i="10"/>
  <c r="J29" i="10"/>
  <c r="K29" i="10"/>
  <c r="J30" i="10"/>
  <c r="K30" i="10"/>
  <c r="J31" i="10"/>
  <c r="K31" i="10"/>
  <c r="I29" i="10"/>
  <c r="I30" i="10"/>
  <c r="I31" i="10"/>
  <c r="H29" i="10"/>
  <c r="H30" i="10"/>
  <c r="H31" i="10"/>
  <c r="K14" i="10"/>
  <c r="L14" i="10"/>
  <c r="K15" i="10"/>
  <c r="L15" i="10"/>
  <c r="K16" i="10"/>
  <c r="L16" i="10"/>
  <c r="K17" i="10"/>
  <c r="L17" i="10"/>
  <c r="K18" i="10"/>
  <c r="L18" i="10"/>
  <c r="L13" i="10"/>
  <c r="K13" i="10"/>
  <c r="L11" i="10"/>
  <c r="K11" i="10"/>
  <c r="K8" i="10"/>
  <c r="L8" i="10"/>
  <c r="K9" i="10"/>
  <c r="L9" i="10"/>
  <c r="L7" i="10"/>
  <c r="K7" i="10"/>
  <c r="P7" i="10"/>
  <c r="D7" i="10" s="1"/>
  <c r="G29" i="10" s="1"/>
  <c r="D17" i="10"/>
  <c r="G40" i="10" s="1"/>
  <c r="D18" i="10"/>
  <c r="G41" i="10" s="1"/>
  <c r="E16" i="10"/>
  <c r="D39" i="10" s="1"/>
  <c r="E17" i="10"/>
  <c r="D40" i="10" s="1"/>
  <c r="E18" i="10"/>
  <c r="D41" i="10" s="1"/>
  <c r="Q16" i="10"/>
  <c r="R16" i="10" s="1"/>
  <c r="Q17" i="10"/>
  <c r="R17" i="10" s="1"/>
  <c r="Q18" i="10"/>
  <c r="R18" i="10" s="1"/>
  <c r="Q15" i="10"/>
  <c r="R15" i="10" s="1"/>
  <c r="E15" i="10" s="1"/>
  <c r="D38" i="10" s="1"/>
  <c r="Q14" i="10"/>
  <c r="R14" i="10" s="1"/>
  <c r="E14" i="10" s="1"/>
  <c r="D37" i="10" s="1"/>
  <c r="Q13" i="10"/>
  <c r="R13" i="10" s="1"/>
  <c r="E13" i="10" s="1"/>
  <c r="D36" i="10" s="1"/>
  <c r="Q9" i="10"/>
  <c r="R9" i="10" s="1"/>
  <c r="E9" i="10" s="1"/>
  <c r="D31" i="10" s="1"/>
  <c r="Q7" i="10"/>
  <c r="R7" i="10" s="1"/>
  <c r="E7" i="10" s="1"/>
  <c r="D29" i="10" s="1"/>
  <c r="P13" i="10"/>
  <c r="P14" i="10" s="1"/>
  <c r="F48" i="1" l="1"/>
  <c r="AI50" i="1"/>
  <c r="F50" i="1" s="1"/>
  <c r="F49" i="1"/>
  <c r="L40" i="10"/>
  <c r="O40" i="10" s="1"/>
  <c r="M11" i="10"/>
  <c r="O11" i="10" s="1"/>
  <c r="L41" i="10"/>
  <c r="O41" i="10" s="1"/>
  <c r="L39" i="10"/>
  <c r="O39" i="10" s="1"/>
  <c r="R39" i="10" s="1"/>
  <c r="S39" i="10" s="1"/>
  <c r="L38" i="10"/>
  <c r="L30" i="10"/>
  <c r="L29" i="10"/>
  <c r="O29" i="10" s="1"/>
  <c r="L37" i="10"/>
  <c r="O37" i="10" s="1"/>
  <c r="M18" i="10"/>
  <c r="O18" i="10" s="1"/>
  <c r="L31" i="10"/>
  <c r="O31" i="10" s="1"/>
  <c r="N31" i="10" s="1"/>
  <c r="M31" i="10" s="1"/>
  <c r="M9" i="10"/>
  <c r="O9" i="10" s="1"/>
  <c r="L36" i="10"/>
  <c r="O36" i="10" s="1"/>
  <c r="N36" i="10" s="1"/>
  <c r="M36" i="10" s="1"/>
  <c r="D13" i="10"/>
  <c r="G36" i="10" s="1"/>
  <c r="M16" i="10"/>
  <c r="O16" i="10" s="1"/>
  <c r="M15" i="10"/>
  <c r="O15" i="10" s="1"/>
  <c r="M8" i="10"/>
  <c r="O8" i="10" s="1"/>
  <c r="M14" i="10"/>
  <c r="O14" i="10" s="1"/>
  <c r="F2" i="10"/>
  <c r="M17" i="10"/>
  <c r="O17" i="10" s="1"/>
  <c r="M13" i="10"/>
  <c r="O13" i="10" s="1"/>
  <c r="K32" i="10"/>
  <c r="M7" i="10"/>
  <c r="O7" i="10" s="1"/>
  <c r="D14" i="10"/>
  <c r="G37" i="10" s="1"/>
  <c r="P15" i="10"/>
  <c r="P8" i="10"/>
  <c r="Q8" i="10"/>
  <c r="R8" i="10" s="1"/>
  <c r="E8" i="10" s="1"/>
  <c r="D30" i="10" s="1"/>
  <c r="H3" i="7"/>
  <c r="H4" i="7" s="1"/>
  <c r="F16" i="9"/>
  <c r="B16" i="9"/>
  <c r="F15" i="9"/>
  <c r="B15" i="9"/>
  <c r="F14" i="9"/>
  <c r="B14" i="9"/>
  <c r="F13" i="9"/>
  <c r="B13" i="9"/>
  <c r="F12" i="9"/>
  <c r="B12" i="9"/>
  <c r="F11" i="9"/>
  <c r="B11" i="9"/>
  <c r="F9" i="9"/>
  <c r="B9" i="9"/>
  <c r="F8" i="9"/>
  <c r="B8" i="9"/>
  <c r="F7" i="9"/>
  <c r="B7" i="9"/>
  <c r="S5" i="1"/>
  <c r="T5" i="1"/>
  <c r="AG5" i="1"/>
  <c r="AH5" i="1" s="1"/>
  <c r="AL5" i="1"/>
  <c r="N40" i="10" l="1"/>
  <c r="M40" i="10" s="1"/>
  <c r="R40" i="10"/>
  <c r="Q40" i="10" s="1"/>
  <c r="P40" i="10" s="1"/>
  <c r="N39" i="10"/>
  <c r="M39" i="10" s="1"/>
  <c r="AI5" i="1"/>
  <c r="L42" i="10"/>
  <c r="P9" i="10"/>
  <c r="D9" i="10" s="1"/>
  <c r="G31" i="10" s="1"/>
  <c r="D8" i="10"/>
  <c r="G30" i="10" s="1"/>
  <c r="R36" i="10"/>
  <c r="S36" i="10" s="1"/>
  <c r="R31" i="10"/>
  <c r="S31" i="10" s="1"/>
  <c r="L32" i="10"/>
  <c r="J32" i="10"/>
  <c r="K42" i="10"/>
  <c r="N41" i="10"/>
  <c r="M41" i="10" s="1"/>
  <c r="R41" i="10"/>
  <c r="R29" i="10"/>
  <c r="N29" i="10"/>
  <c r="R37" i="10"/>
  <c r="N37" i="10"/>
  <c r="M37" i="10" s="1"/>
  <c r="Q39" i="10"/>
  <c r="P39" i="10" s="1"/>
  <c r="J42" i="10"/>
  <c r="D15" i="10"/>
  <c r="P16" i="10"/>
  <c r="H5" i="7"/>
  <c r="E8" i="3"/>
  <c r="E6" i="3"/>
  <c r="E7" i="3" s="1"/>
  <c r="S40" i="10" l="1"/>
  <c r="P17" i="10"/>
  <c r="P18" i="10" s="1"/>
  <c r="D16" i="10"/>
  <c r="G39" i="10" s="1"/>
  <c r="O38" i="10"/>
  <c r="O42" i="10" s="1"/>
  <c r="G38" i="10"/>
  <c r="Q36" i="10"/>
  <c r="P36" i="10" s="1"/>
  <c r="Q31" i="10"/>
  <c r="P31" i="10" s="1"/>
  <c r="O30" i="10"/>
  <c r="G32" i="10"/>
  <c r="Q41" i="10"/>
  <c r="P41" i="10" s="1"/>
  <c r="S41" i="10"/>
  <c r="M29" i="10"/>
  <c r="Q29" i="10"/>
  <c r="S29" i="10"/>
  <c r="Q37" i="10"/>
  <c r="P37" i="10" s="1"/>
  <c r="S37" i="10"/>
  <c r="C20" i="6"/>
  <c r="C13" i="6"/>
  <c r="C25" i="6"/>
  <c r="C27" i="6"/>
  <c r="C24" i="6"/>
  <c r="K20" i="6"/>
  <c r="L20" i="6" s="1"/>
  <c r="S15" i="1"/>
  <c r="T4" i="1"/>
  <c r="C10" i="6" l="1"/>
  <c r="C26" i="6"/>
  <c r="G42" i="10"/>
  <c r="H42" i="10" s="1"/>
  <c r="R38" i="10"/>
  <c r="R42" i="10" s="1"/>
  <c r="N38" i="10"/>
  <c r="M38" i="10" s="1"/>
  <c r="M42" i="10" s="1"/>
  <c r="I32" i="10"/>
  <c r="H32" i="10"/>
  <c r="N30" i="10"/>
  <c r="R30" i="10"/>
  <c r="S30" i="10" s="1"/>
  <c r="S32" i="10" s="1"/>
  <c r="O32" i="10"/>
  <c r="P29" i="10"/>
  <c r="I42" i="10" l="1"/>
  <c r="Q38" i="10"/>
  <c r="P38" i="10" s="1"/>
  <c r="P42" i="10" s="1"/>
  <c r="S38" i="10"/>
  <c r="S42" i="10" s="1"/>
  <c r="N42" i="10"/>
  <c r="M30" i="10"/>
  <c r="M32" i="10" s="1"/>
  <c r="N32" i="10"/>
  <c r="Q30" i="10"/>
  <c r="R32" i="10"/>
  <c r="E21" i="1"/>
  <c r="Q42" i="10" l="1"/>
  <c r="P30" i="10"/>
  <c r="P32" i="10" s="1"/>
  <c r="Q32" i="10"/>
  <c r="D10" i="6"/>
  <c r="C16" i="6"/>
  <c r="C17" i="6" l="1"/>
  <c r="D17" i="6" s="1"/>
  <c r="D16" i="6"/>
  <c r="E51" i="1" l="1"/>
  <c r="I8" i="4" l="1"/>
  <c r="I9" i="4"/>
  <c r="I10" i="4"/>
  <c r="I11" i="4"/>
  <c r="I7" i="4"/>
  <c r="F51" i="1" l="1"/>
  <c r="I12" i="4"/>
  <c r="E39" i="1" l="1"/>
  <c r="AD4" i="1" s="1"/>
  <c r="AD5" i="1" s="1"/>
  <c r="AD6" i="1" l="1"/>
  <c r="AD15" i="1" s="1"/>
  <c r="AD16" i="1" s="1"/>
  <c r="AD17" i="1" s="1"/>
  <c r="AD18" i="1" s="1"/>
  <c r="AD19" i="1" s="1"/>
  <c r="AD20" i="1" s="1"/>
  <c r="AL20" i="1"/>
  <c r="AG20" i="1"/>
  <c r="AH20" i="1" s="1"/>
  <c r="AI20" i="1" s="1"/>
  <c r="AL19" i="1"/>
  <c r="AG19" i="1"/>
  <c r="AL18" i="1"/>
  <c r="AG18" i="1"/>
  <c r="AL17" i="1"/>
  <c r="AG17" i="1"/>
  <c r="AL16" i="1"/>
  <c r="AG16" i="1"/>
  <c r="AH16" i="1" s="1"/>
  <c r="AL15" i="1"/>
  <c r="AG15" i="1"/>
  <c r="AL6" i="1"/>
  <c r="AG6" i="1"/>
  <c r="AL4" i="1"/>
  <c r="AG4" i="1"/>
  <c r="AH4" i="1" s="1"/>
  <c r="AL21" i="1" l="1"/>
  <c r="AH17" i="1"/>
  <c r="AG21" i="1"/>
  <c r="F21" i="1" s="1"/>
  <c r="S4" i="1"/>
  <c r="AI16" i="1"/>
  <c r="AL7" i="1"/>
  <c r="AH6" i="1"/>
  <c r="AI6" i="1" s="1"/>
  <c r="AG7" i="1"/>
  <c r="AH18" i="1"/>
  <c r="AI18" i="1" s="1"/>
  <c r="AH15" i="1"/>
  <c r="AI15" i="1" s="1"/>
  <c r="AH19" i="1"/>
  <c r="AI19" i="1" s="1"/>
  <c r="AI4" i="1"/>
  <c r="AI17" i="1" l="1"/>
  <c r="AI21" i="1" s="1"/>
  <c r="AH21" i="1"/>
  <c r="AM7" i="1"/>
  <c r="AI7" i="1"/>
  <c r="AH7" i="1"/>
  <c r="C11" i="6" l="1"/>
  <c r="S6" i="1"/>
  <c r="C19" i="6" l="1"/>
  <c r="C12" i="6"/>
  <c r="T15" i="1"/>
  <c r="T16" i="1" l="1"/>
  <c r="S7" i="1"/>
  <c r="S16" i="1" l="1"/>
  <c r="T17" i="1"/>
  <c r="S17" i="1" l="1"/>
  <c r="T18" i="1"/>
  <c r="S18" i="1" l="1"/>
  <c r="S19" i="1"/>
  <c r="T19" i="1"/>
  <c r="T20" i="1" l="1"/>
  <c r="S20" i="1"/>
  <c r="T21" i="1" l="1"/>
  <c r="S21" i="1"/>
  <c r="AO4" i="1"/>
  <c r="AM21" i="1"/>
  <c r="AM22" i="1" s="1"/>
  <c r="D11" i="6" l="1"/>
  <c r="D12" i="6" s="1"/>
  <c r="C14" i="6" s="1"/>
  <c r="Y11" i="1" s="1"/>
  <c r="U21" i="1"/>
  <c r="C18" i="6" s="1"/>
  <c r="G21" i="1"/>
  <c r="J11" i="1" l="1"/>
  <c r="Y12" i="1"/>
  <c r="Y13" i="1" l="1"/>
  <c r="J13" i="1" s="1"/>
  <c r="J12" i="1"/>
  <c r="I11" i="1"/>
  <c r="M11" i="1"/>
  <c r="AC11" i="1"/>
  <c r="J14" i="1" l="1"/>
  <c r="M13" i="1"/>
  <c r="AC13" i="1"/>
  <c r="I13" i="1"/>
  <c r="H13" i="1" s="1"/>
  <c r="H11" i="1"/>
  <c r="P11" i="1"/>
  <c r="Q11" i="1" s="1"/>
  <c r="L11" i="1"/>
  <c r="M12" i="1"/>
  <c r="AC12" i="1"/>
  <c r="I12" i="1"/>
  <c r="H12" i="1" s="1"/>
  <c r="H14" i="1" l="1"/>
  <c r="M14" i="1"/>
  <c r="I14" i="1"/>
  <c r="K11" i="1"/>
  <c r="P13" i="1"/>
  <c r="Q13" i="1" s="1"/>
  <c r="L13" i="1"/>
  <c r="K13" i="1" s="1"/>
  <c r="O11" i="1"/>
  <c r="P12" i="1"/>
  <c r="Q12" i="1" s="1"/>
  <c r="L12" i="1"/>
  <c r="K12" i="1" s="1"/>
  <c r="I13" i="7"/>
  <c r="I12" i="7" s="1"/>
  <c r="Q14" i="1" l="1"/>
  <c r="P14" i="1"/>
  <c r="L14" i="1"/>
  <c r="K14" i="1"/>
  <c r="N11" i="1"/>
  <c r="O13" i="1"/>
  <c r="N13" i="1" s="1"/>
  <c r="O12" i="1"/>
  <c r="N12" i="1" s="1"/>
  <c r="N14" i="1" l="1"/>
  <c r="O14" i="1"/>
  <c r="H12" i="6" l="1"/>
  <c r="H11" i="6" l="1"/>
  <c r="T6" i="1" l="1"/>
  <c r="T7" i="1" l="1"/>
  <c r="U7" i="1" s="1"/>
  <c r="C38" i="6" l="1"/>
  <c r="C36" i="6"/>
  <c r="D25" i="6" l="1"/>
  <c r="M19" i="10" l="1"/>
  <c r="L19" i="10" l="1"/>
  <c r="L22" i="10" s="1"/>
  <c r="N22" i="10" s="1"/>
  <c r="O19" i="10"/>
  <c r="K19" i="10" l="1"/>
  <c r="I22" i="10" s="1"/>
  <c r="J22" i="10" s="1"/>
  <c r="O22" i="10" l="1"/>
  <c r="O23" i="10" l="1"/>
  <c r="L47" i="10" l="1"/>
  <c r="I47" i="10"/>
  <c r="L48" i="10" l="1"/>
  <c r="L49" i="10" s="1"/>
  <c r="N47" i="10"/>
  <c r="I48" i="10"/>
  <c r="J47" i="10" l="1"/>
  <c r="N48" i="10"/>
  <c r="M48" i="10" s="1"/>
  <c r="M47" i="10"/>
  <c r="I49" i="10"/>
  <c r="N49" i="10" l="1"/>
  <c r="J48" i="10"/>
  <c r="H19" i="6" l="1"/>
  <c r="D18" i="6"/>
  <c r="D21" i="6" s="1"/>
  <c r="J19" i="6" l="1"/>
  <c r="K19" i="6"/>
  <c r="E26" i="3" s="1"/>
  <c r="D19" i="6"/>
  <c r="C21" i="6" s="1"/>
  <c r="Y15" i="1" s="1"/>
  <c r="J15" i="1" s="1"/>
  <c r="L19" i="6" l="1"/>
  <c r="D26" i="3"/>
  <c r="F26" i="3" s="1"/>
  <c r="Y16" i="1"/>
  <c r="J16" i="1" s="1"/>
  <c r="Y17" i="1" l="1"/>
  <c r="J17" i="1" s="1"/>
  <c r="M15" i="1"/>
  <c r="AC15" i="1"/>
  <c r="I15" i="1"/>
  <c r="E11" i="9" l="1"/>
  <c r="H15" i="1"/>
  <c r="L15" i="1"/>
  <c r="K15" i="1" s="1"/>
  <c r="I11" i="9"/>
  <c r="P15" i="1"/>
  <c r="Y18" i="1"/>
  <c r="J18" i="1" s="1"/>
  <c r="AC16" i="1"/>
  <c r="M16" i="1"/>
  <c r="I16" i="1"/>
  <c r="E12" i="9" s="1"/>
  <c r="J11" i="9" l="1"/>
  <c r="O15" i="1"/>
  <c r="N15" i="1" s="1"/>
  <c r="P16" i="1"/>
  <c r="I12" i="9"/>
  <c r="L16" i="1"/>
  <c r="H12" i="9" s="1"/>
  <c r="G11" i="9"/>
  <c r="H16" i="1"/>
  <c r="D12" i="9" s="1"/>
  <c r="H11" i="9"/>
  <c r="AC17" i="1"/>
  <c r="M17" i="1"/>
  <c r="I17" i="1"/>
  <c r="E13" i="9" s="1"/>
  <c r="D11" i="9"/>
  <c r="Y19" i="1"/>
  <c r="J19" i="1" s="1"/>
  <c r="Q15" i="1"/>
  <c r="H17" i="1" l="1"/>
  <c r="D13" i="9" s="1"/>
  <c r="AC18" i="1"/>
  <c r="M18" i="1"/>
  <c r="I18" i="1"/>
  <c r="O16" i="1"/>
  <c r="J12" i="9"/>
  <c r="K16" i="1"/>
  <c r="Q16" i="1"/>
  <c r="Y20" i="1"/>
  <c r="J20" i="1" s="1"/>
  <c r="L17" i="1"/>
  <c r="H13" i="9" s="1"/>
  <c r="P17" i="1"/>
  <c r="Q17" i="1" s="1"/>
  <c r="I13" i="9"/>
  <c r="K17" i="1" l="1"/>
  <c r="G13" i="9" s="1"/>
  <c r="E14" i="9"/>
  <c r="I19" i="1"/>
  <c r="E15" i="9" s="1"/>
  <c r="AC19" i="1"/>
  <c r="M19" i="1"/>
  <c r="H18" i="1"/>
  <c r="N16" i="1"/>
  <c r="P18" i="1"/>
  <c r="Q18" i="1" s="1"/>
  <c r="I14" i="9"/>
  <c r="L18" i="1"/>
  <c r="K18" i="1" s="1"/>
  <c r="I20" i="1"/>
  <c r="E16" i="9" s="1"/>
  <c r="M20" i="1"/>
  <c r="AC20" i="1"/>
  <c r="O17" i="1"/>
  <c r="J13" i="9"/>
  <c r="J21" i="1"/>
  <c r="H13" i="7" s="1"/>
  <c r="G12" i="9"/>
  <c r="M21" i="1" l="1"/>
  <c r="H20" i="1"/>
  <c r="D16" i="9" s="1"/>
  <c r="G14" i="9"/>
  <c r="D14" i="9"/>
  <c r="H19" i="1"/>
  <c r="D15" i="9" s="1"/>
  <c r="L19" i="1"/>
  <c r="H15" i="9" s="1"/>
  <c r="P19" i="1"/>
  <c r="I15" i="9"/>
  <c r="I21" i="1"/>
  <c r="N17" i="1"/>
  <c r="P20" i="1"/>
  <c r="Q20" i="1" s="1"/>
  <c r="I16" i="9"/>
  <c r="L20" i="1"/>
  <c r="H16" i="9" s="1"/>
  <c r="O18" i="1"/>
  <c r="N18" i="1" s="1"/>
  <c r="J14" i="9"/>
  <c r="H12" i="7"/>
  <c r="H14" i="9"/>
  <c r="K20" i="1" l="1"/>
  <c r="G16" i="9" s="1"/>
  <c r="K19" i="1"/>
  <c r="G15" i="9" s="1"/>
  <c r="P21" i="1"/>
  <c r="L21" i="1"/>
  <c r="K12" i="6" s="1"/>
  <c r="J15" i="9"/>
  <c r="O19" i="1"/>
  <c r="N19" i="1" s="1"/>
  <c r="H21" i="1"/>
  <c r="Q19" i="1"/>
  <c r="Q21" i="1" s="1"/>
  <c r="O20" i="1"/>
  <c r="J16" i="9"/>
  <c r="G17" i="9" l="1"/>
  <c r="K21" i="1"/>
  <c r="J12" i="6" s="1"/>
  <c r="L12" i="6" s="1"/>
  <c r="O21" i="1"/>
  <c r="K11" i="6" s="1"/>
  <c r="K10" i="6" s="1"/>
  <c r="N20" i="1"/>
  <c r="N21" i="1" s="1"/>
  <c r="J11" i="6" l="1"/>
  <c r="C35" i="6"/>
  <c r="E26" i="1"/>
  <c r="C37" i="6" l="1"/>
  <c r="C39" i="6"/>
  <c r="J10" i="6"/>
  <c r="L11" i="6"/>
  <c r="L10" i="6" s="1"/>
  <c r="Y4" i="1" l="1"/>
  <c r="J4" i="1" s="1"/>
  <c r="C28" i="6"/>
  <c r="E3" i="3"/>
  <c r="B2" i="9"/>
  <c r="H9" i="7"/>
  <c r="D23" i="7" s="1"/>
  <c r="D26" i="6" l="1"/>
  <c r="K18" i="6" s="1"/>
  <c r="L18" i="6" s="1"/>
  <c r="E12" i="3"/>
  <c r="J9" i="7"/>
  <c r="J8" i="7" s="1"/>
  <c r="D24" i="6"/>
  <c r="Y5" i="1"/>
  <c r="J5" i="1" s="1"/>
  <c r="I9" i="7"/>
  <c r="H8" i="7"/>
  <c r="J12" i="7"/>
  <c r="M4" i="1" l="1"/>
  <c r="AC4" i="1"/>
  <c r="I4" i="1"/>
  <c r="H4" i="1" s="1"/>
  <c r="Y6" i="1"/>
  <c r="J6" i="1" s="1"/>
  <c r="J17" i="6"/>
  <c r="K17" i="6" s="1"/>
  <c r="L17" i="6"/>
  <c r="L16" i="6" s="1"/>
  <c r="I8" i="7"/>
  <c r="D28" i="7"/>
  <c r="D7" i="9" l="1"/>
  <c r="AC5" i="1"/>
  <c r="M5" i="1"/>
  <c r="I5" i="1"/>
  <c r="E8" i="9" s="1"/>
  <c r="J7" i="1"/>
  <c r="C14" i="3"/>
  <c r="K16" i="6"/>
  <c r="E25" i="3" s="1"/>
  <c r="E27" i="3" s="1"/>
  <c r="E33" i="3" s="1"/>
  <c r="E7" i="9"/>
  <c r="M6" i="1"/>
  <c r="I6" i="1"/>
  <c r="E9" i="9" s="1"/>
  <c r="AC6" i="1"/>
  <c r="J16" i="6"/>
  <c r="C13" i="3"/>
  <c r="D25" i="3"/>
  <c r="P4" i="1"/>
  <c r="I7" i="9"/>
  <c r="L4" i="1"/>
  <c r="K4" i="1" s="1"/>
  <c r="M7" i="1" l="1"/>
  <c r="F7" i="1" s="1"/>
  <c r="C15" i="3"/>
  <c r="D14" i="3" s="1"/>
  <c r="D13" i="3" s="1"/>
  <c r="H5" i="1"/>
  <c r="D8" i="9" s="1"/>
  <c r="H6" i="1"/>
  <c r="D9" i="9" s="1"/>
  <c r="I7" i="1"/>
  <c r="G7" i="9"/>
  <c r="D26" i="7"/>
  <c r="D29" i="7" s="1"/>
  <c r="D30" i="7" s="1"/>
  <c r="L6" i="1"/>
  <c r="H9" i="9" s="1"/>
  <c r="I9" i="9"/>
  <c r="P6" i="1"/>
  <c r="J7" i="9"/>
  <c r="O4" i="1"/>
  <c r="N4" i="1" s="1"/>
  <c r="I8" i="9"/>
  <c r="P5" i="1"/>
  <c r="L5" i="1"/>
  <c r="H8" i="9" s="1"/>
  <c r="H7" i="9"/>
  <c r="Q4" i="1"/>
  <c r="F25" i="3"/>
  <c r="D27" i="3"/>
  <c r="H7" i="1" l="1"/>
  <c r="I17" i="9"/>
  <c r="K5" i="1"/>
  <c r="G8" i="9" s="1"/>
  <c r="J8" i="9"/>
  <c r="O5" i="1"/>
  <c r="N5" i="1" s="1"/>
  <c r="J9" i="9"/>
  <c r="O6" i="1"/>
  <c r="N6" i="1" s="1"/>
  <c r="Q6" i="1"/>
  <c r="D31" i="7"/>
  <c r="D32" i="7" s="1"/>
  <c r="D33" i="7" s="1"/>
  <c r="L7" i="1"/>
  <c r="P7" i="1"/>
  <c r="AL22" i="1" s="1"/>
  <c r="H17" i="9"/>
  <c r="H20" i="9"/>
  <c r="Q5" i="1"/>
  <c r="F27" i="3"/>
  <c r="F33" i="3" s="1"/>
  <c r="D33" i="3"/>
  <c r="K6" i="1"/>
  <c r="G9" i="9" s="1"/>
  <c r="J17" i="9" l="1"/>
  <c r="E20" i="9"/>
  <c r="J20" i="9" s="1"/>
  <c r="F20" i="9" s="1"/>
  <c r="I20" i="9" s="1"/>
  <c r="K7" i="1"/>
  <c r="J15" i="6" s="1"/>
  <c r="Q7" i="1"/>
  <c r="O7" i="1"/>
  <c r="I16" i="7" s="1"/>
  <c r="N7" i="1"/>
  <c r="K15" i="6"/>
  <c r="V7" i="1"/>
  <c r="H15" i="6" s="1"/>
  <c r="E21" i="3"/>
  <c r="K14" i="6" l="1"/>
  <c r="K13" i="6" s="1"/>
  <c r="D21" i="3"/>
  <c r="F21" i="3" s="1"/>
  <c r="W7" i="1"/>
  <c r="H14" i="6" s="1"/>
  <c r="H16" i="7"/>
  <c r="J16" i="7" s="1"/>
  <c r="L15" i="6"/>
  <c r="J14" i="6"/>
  <c r="J13" i="6" s="1"/>
  <c r="E21" i="9"/>
  <c r="D22" i="3" l="1"/>
  <c r="H21" i="9"/>
  <c r="L14" i="6"/>
  <c r="E22" i="3" l="1"/>
  <c r="E23" i="3" s="1"/>
  <c r="L13" i="6"/>
  <c r="K21" i="6"/>
  <c r="J21" i="6"/>
  <c r="J22" i="6" s="1"/>
  <c r="J21" i="9"/>
  <c r="F21" i="9" s="1"/>
  <c r="I21" i="9" s="1"/>
  <c r="D23" i="3"/>
  <c r="F22" i="3" l="1"/>
  <c r="H17" i="7"/>
  <c r="J3" i="7"/>
  <c r="L4" i="7" s="1"/>
  <c r="E30" i="3"/>
  <c r="E34" i="3" s="1"/>
  <c r="K22" i="6"/>
  <c r="L21" i="6"/>
  <c r="L22" i="6" s="1"/>
  <c r="D30" i="3"/>
  <c r="D32" i="3"/>
  <c r="F23" i="3"/>
  <c r="D28" i="3"/>
  <c r="J31" i="3" s="1"/>
  <c r="J32" i="3" s="1"/>
  <c r="E28" i="3"/>
  <c r="J30" i="3" s="1"/>
  <c r="E32" i="3"/>
  <c r="E35" i="3" l="1"/>
  <c r="J4" i="7" s="1"/>
  <c r="D20" i="7" s="1"/>
  <c r="I17" i="7"/>
  <c r="J17" i="7" s="1"/>
  <c r="D34" i="3"/>
  <c r="D35" i="3" s="1"/>
  <c r="E25" i="1" s="1"/>
  <c r="D22" i="7" s="1"/>
  <c r="F30" i="3"/>
  <c r="F34" i="3" s="1"/>
  <c r="J35" i="3"/>
  <c r="J34" i="3" s="1"/>
  <c r="F28" i="3"/>
  <c r="J29" i="3" s="1"/>
  <c r="F32" i="3"/>
  <c r="F35" i="3" l="1"/>
  <c r="D36" i="3" s="1"/>
  <c r="D19" i="7"/>
  <c r="E27" i="1" s="1"/>
  <c r="D21" i="7"/>
  <c r="J5" i="7"/>
  <c r="E36" i="3" l="1"/>
  <c r="F36"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Larry Krantz</author>
  </authors>
  <commentList>
    <comment ref="D3" authorId="0" shapeId="0" xr:uid="{00000000-0006-0000-0100-000001000000}">
      <text>
        <r>
          <rPr>
            <b/>
            <sz val="9"/>
            <color indexed="81"/>
            <rFont val="Tahoma"/>
            <family val="2"/>
          </rPr>
          <t>Larry Krantz:</t>
        </r>
        <r>
          <rPr>
            <sz val="9"/>
            <color indexed="81"/>
            <rFont val="Tahoma"/>
            <family val="2"/>
          </rPr>
          <t xml:space="preserve">
This amount either comes directly from the RFP document or is negotiated with TxDOT.</t>
        </r>
      </text>
    </comment>
    <comment ref="D9" authorId="0" shapeId="0" xr:uid="{00000000-0006-0000-0100-000003000000}">
      <text>
        <r>
          <rPr>
            <b/>
            <sz val="9"/>
            <color indexed="81"/>
            <rFont val="Tahoma"/>
            <family val="2"/>
          </rPr>
          <t>Larry Krantz:</t>
        </r>
        <r>
          <rPr>
            <sz val="9"/>
            <color indexed="81"/>
            <rFont val="Tahoma"/>
            <family val="2"/>
          </rPr>
          <t xml:space="preserve">
Links from total on Vehicle Operational Cost tab</t>
        </r>
      </text>
    </comment>
    <comment ref="D10" authorId="0" shapeId="0" xr:uid="{00000000-0006-0000-0100-000004000000}">
      <text>
        <r>
          <rPr>
            <b/>
            <sz val="9"/>
            <color indexed="81"/>
            <rFont val="Tahoma"/>
            <family val="2"/>
          </rPr>
          <t>Larry Krantz:</t>
        </r>
        <r>
          <rPr>
            <sz val="9"/>
            <color indexed="81"/>
            <rFont val="Tahoma"/>
            <family val="2"/>
          </rPr>
          <t xml:space="preserve">
If mileage is not to be used for reimbursement or match, place a 0 in this box. The standard number of enforcement miles per enforcement hour is usually below 12. Cities are usually below 8.</t>
        </r>
      </text>
    </comment>
    <comment ref="D12" authorId="0" shapeId="0" xr:uid="{00000000-0006-0000-0100-000005000000}">
      <text>
        <r>
          <rPr>
            <b/>
            <sz val="9"/>
            <color indexed="81"/>
            <rFont val="Tahoma"/>
            <family val="2"/>
          </rPr>
          <t>Larry Krantz:</t>
        </r>
        <r>
          <rPr>
            <sz val="9"/>
            <color indexed="81"/>
            <rFont val="Tahoma"/>
            <family val="2"/>
          </rPr>
          <t xml:space="preserve">
These are any additional direct costs such as attending conferences. Ideally these would be matched at the overall grant's match rate. That way, if the travel does not occur, there is no impact on the grant's matching efforts.</t>
        </r>
      </text>
    </comment>
    <comment ref="D13" authorId="0" shapeId="0" xr:uid="{D5628C2D-06D5-46EE-B23A-C52AA670B522}">
      <text>
        <r>
          <rPr>
            <b/>
            <sz val="9"/>
            <color indexed="81"/>
            <rFont val="Tahoma"/>
            <family val="2"/>
          </rPr>
          <t>Larry Krantz:</t>
        </r>
        <r>
          <rPr>
            <sz val="9"/>
            <color indexed="81"/>
            <rFont val="Tahoma"/>
            <family val="2"/>
          </rPr>
          <t xml:space="preserve">
Must be at least 20% total non-enforcement costs. </t>
        </r>
      </text>
    </comment>
    <comment ref="D14" authorId="0" shapeId="0" xr:uid="{00000000-0006-0000-0100-000006000000}">
      <text>
        <r>
          <rPr>
            <b/>
            <sz val="9"/>
            <color indexed="81"/>
            <rFont val="Tahoma"/>
            <family val="2"/>
          </rPr>
          <t>Larry Krantz:</t>
        </r>
        <r>
          <rPr>
            <sz val="9"/>
            <color indexed="81"/>
            <rFont val="Tahoma"/>
            <family val="2"/>
          </rPr>
          <t xml:space="preserve">
This is any additional match not accounted for in salary, fringe or enforcement mileage. Written justification will be required prior to approval of any match not associated with salaries, fringe or enforcement mileage.</t>
        </r>
      </text>
    </comment>
    <comment ref="D15" authorId="0" shapeId="0" xr:uid="{00000000-0006-0000-0100-000007000000}">
      <text>
        <r>
          <rPr>
            <b/>
            <sz val="9"/>
            <color indexed="81"/>
            <rFont val="Tahoma"/>
            <family val="2"/>
          </rPr>
          <t>Larry Krantz:</t>
        </r>
        <r>
          <rPr>
            <sz val="9"/>
            <color indexed="81"/>
            <rFont val="Tahoma"/>
            <family val="2"/>
          </rPr>
          <t xml:space="preserve">
Agencies may claim a deminimus ICR up to 15% (any value between 1% and 15%) without needing to provide documentation. This is only allowed when the agency either has never had an ICR or their ICR is documented as having expired.</t>
        </r>
      </text>
    </comment>
    <comment ref="F15" authorId="0" shapeId="0" xr:uid="{00000000-0006-0000-0100-000009000000}">
      <text>
        <r>
          <rPr>
            <b/>
            <sz val="9"/>
            <color indexed="81"/>
            <rFont val="Tahoma"/>
            <family val="2"/>
          </rPr>
          <t>Larry Krantz:</t>
        </r>
        <r>
          <rPr>
            <sz val="9"/>
            <color indexed="81"/>
            <rFont val="Tahoma"/>
            <family val="2"/>
          </rPr>
          <t xml:space="preserve">
This is a good table for grant managers to keep in mind. If the total expenditures divided by the number of enforcement hours is significantly different (10% or more) than the numbers in this table, the grant will overrun or underrun.</t>
        </r>
      </text>
    </comment>
    <comment ref="D16" authorId="0" shapeId="0" xr:uid="{E1FA3564-166F-4823-9EEE-B8309B4485BA}">
      <text>
        <r>
          <rPr>
            <b/>
            <sz val="9"/>
            <color indexed="81"/>
            <rFont val="Tahoma"/>
            <family val="2"/>
          </rPr>
          <t>Larry Krantz:</t>
        </r>
        <r>
          <rPr>
            <sz val="9"/>
            <color indexed="81"/>
            <rFont val="Tahoma"/>
            <family val="2"/>
          </rPr>
          <t xml:space="preserve">
There must be a number here if you're using ICR</t>
        </r>
      </text>
    </comment>
    <comment ref="D19" authorId="0" shapeId="0" xr:uid="{00000000-0006-0000-0100-00000B000000}">
      <text>
        <r>
          <rPr>
            <b/>
            <sz val="9"/>
            <color indexed="81"/>
            <rFont val="Tahoma"/>
            <family val="2"/>
          </rPr>
          <t>Larry Krantz:</t>
        </r>
        <r>
          <rPr>
            <sz val="9"/>
            <color indexed="81"/>
            <rFont val="Tahoma"/>
            <family val="2"/>
          </rPr>
          <t xml:space="preserve">
If this cell is green, the grant has sufficient match to qualify. If it is red, see the cell below to determine how much more match is needed to reach 20%.</t>
        </r>
      </text>
    </comment>
    <comment ref="D20" authorId="0" shapeId="0" xr:uid="{00000000-0006-0000-0100-00000C000000}">
      <text>
        <r>
          <rPr>
            <b/>
            <sz val="9"/>
            <color indexed="81"/>
            <rFont val="Tahoma"/>
            <family val="2"/>
          </rPr>
          <t>Larry Krantz:</t>
        </r>
        <r>
          <rPr>
            <sz val="9"/>
            <color indexed="81"/>
            <rFont val="Tahoma"/>
            <family val="2"/>
          </rPr>
          <t xml:space="preserve">
This cell, if green, indicates any surplus in match funding. If red, the amount of match identified below is not sufficient to execute the grant, and is short by the number indicated.</t>
        </r>
      </text>
    </comment>
    <comment ref="D22" authorId="0" shapeId="0" xr:uid="{8AC112D5-3A2A-4822-9EA6-0544E8EB1566}">
      <text>
        <r>
          <rPr>
            <b/>
            <sz val="9"/>
            <color indexed="81"/>
            <rFont val="Tahoma"/>
            <family val="2"/>
          </rPr>
          <t>Larry Krantz:</t>
        </r>
        <r>
          <rPr>
            <sz val="9"/>
            <color indexed="81"/>
            <rFont val="Tahoma"/>
            <family val="2"/>
          </rPr>
          <t xml:space="preserve">
Max 10% of total TxDOT award (Cell D3) for all non-enforcement hours on this project.</t>
        </r>
      </text>
    </comment>
    <comment ref="D30" authorId="0" shapeId="0" xr:uid="{00000000-0006-0000-0100-00000D000000}">
      <text>
        <r>
          <rPr>
            <b/>
            <sz val="9"/>
            <color indexed="81"/>
            <rFont val="Tahoma"/>
            <family val="2"/>
          </rPr>
          <t>Larry Krantz:</t>
        </r>
        <r>
          <rPr>
            <sz val="9"/>
            <color indexed="81"/>
            <rFont val="Tahoma"/>
            <family val="2"/>
          </rPr>
          <t xml:space="preserve">
Target is 55 hours per zone per EP for IDM, and 40 for all other STEP projects.</t>
        </r>
      </text>
    </comment>
    <comment ref="B36" authorId="0" shapeId="0" xr:uid="{E2B9E822-BC0B-4E7E-83A5-AEDC1FFCFF6F}">
      <text>
        <r>
          <rPr>
            <b/>
            <sz val="9"/>
            <color indexed="81"/>
            <rFont val="Tahoma"/>
            <family val="2"/>
          </rPr>
          <t>Larry Krantz:</t>
        </r>
        <r>
          <rPr>
            <sz val="9"/>
            <color indexed="81"/>
            <rFont val="Tahoma"/>
            <family val="2"/>
          </rPr>
          <t xml:space="preserve">
Place an X in the box that corresponds to the current match rate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Larry Krantz</author>
  </authors>
  <commentList>
    <comment ref="E3" authorId="0" shapeId="0" xr:uid="{00000000-0006-0000-0000-000001000000}">
      <text>
        <r>
          <rPr>
            <b/>
            <sz val="9"/>
            <color indexed="81"/>
            <rFont val="Tahoma"/>
            <family val="2"/>
          </rPr>
          <t>Larry Krantz:</t>
        </r>
        <r>
          <rPr>
            <sz val="9"/>
            <color indexed="81"/>
            <rFont val="Tahoma"/>
            <family val="2"/>
          </rPr>
          <t xml:space="preserve">
Percentage of enforcement hours out of 100% worked by rank or salary level</t>
        </r>
      </text>
    </comment>
    <comment ref="F3" authorId="0" shapeId="0" xr:uid="{00000000-0006-0000-0000-000002000000}">
      <text>
        <r>
          <rPr>
            <b/>
            <sz val="9"/>
            <color indexed="81"/>
            <rFont val="Tahoma"/>
            <family val="2"/>
          </rPr>
          <t>Larry Krantz:</t>
        </r>
        <r>
          <rPr>
            <sz val="9"/>
            <color indexed="81"/>
            <rFont val="Tahoma"/>
            <family val="2"/>
          </rPr>
          <t xml:space="preserve">
This is an average overtime rate for the officers in this rank or salary category.</t>
        </r>
      </text>
    </comment>
    <comment ref="G3" authorId="0" shapeId="0" xr:uid="{00000000-0006-0000-0000-000003000000}">
      <text>
        <r>
          <rPr>
            <b/>
            <sz val="9"/>
            <color indexed="81"/>
            <rFont val="Tahoma"/>
            <family val="2"/>
          </rPr>
          <t>Larry Krantz:</t>
        </r>
        <r>
          <rPr>
            <sz val="9"/>
            <color indexed="81"/>
            <rFont val="Tahoma"/>
            <family val="2"/>
          </rPr>
          <t xml:space="preserve">
Use the Fringe Rate Calculator on Row 39 or Row 50 to develop a fringe rate unless already provided. Use Calculator A if percentages are already provided. Use Calculator B if working from a pay stub.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Larry Krantz</author>
  </authors>
  <commentList>
    <comment ref="G28" authorId="0" shapeId="0" xr:uid="{00000000-0006-0000-0700-000001000000}">
      <text>
        <r>
          <rPr>
            <b/>
            <sz val="9"/>
            <color indexed="81"/>
            <rFont val="Tahoma"/>
            <family val="2"/>
          </rPr>
          <t>Larry Krantz:</t>
        </r>
        <r>
          <rPr>
            <sz val="9"/>
            <color indexed="81"/>
            <rFont val="Tahoma"/>
            <family val="2"/>
          </rPr>
          <t xml:space="preserve">
Percentage of enforcement hours out of 100% worked by rank or salary level</t>
        </r>
      </text>
    </comment>
    <comment ref="H28" authorId="0" shapeId="0" xr:uid="{00000000-0006-0000-0700-000002000000}">
      <text>
        <r>
          <rPr>
            <b/>
            <sz val="9"/>
            <color indexed="81"/>
            <rFont val="Tahoma"/>
            <family val="2"/>
          </rPr>
          <t>Larry Krantz:</t>
        </r>
        <r>
          <rPr>
            <sz val="9"/>
            <color indexed="81"/>
            <rFont val="Tahoma"/>
            <family val="2"/>
          </rPr>
          <t xml:space="preserve">
This is an average overtime rate for the officers in this rank or salary category.</t>
        </r>
      </text>
    </comment>
    <comment ref="I28" authorId="0" shapeId="0" xr:uid="{00000000-0006-0000-0700-000003000000}">
      <text>
        <r>
          <rPr>
            <b/>
            <sz val="9"/>
            <color indexed="81"/>
            <rFont val="Tahoma"/>
            <family val="2"/>
          </rPr>
          <t>Larry Krantz:</t>
        </r>
        <r>
          <rPr>
            <sz val="9"/>
            <color indexed="81"/>
            <rFont val="Tahoma"/>
            <family val="2"/>
          </rPr>
          <t xml:space="preserve">
Use the Fringe Rate Calculator on Row 39 or Row 50 to develop a fringe rate unless already provided. Use Calculator A if percentages are already provided. Use Calculator B if working from a pay stub.</t>
        </r>
      </text>
    </comment>
  </commentList>
</comments>
</file>

<file path=xl/sharedStrings.xml><?xml version="1.0" encoding="utf-8"?>
<sst xmlns="http://schemas.openxmlformats.org/spreadsheetml/2006/main" count="473" uniqueCount="252">
  <si>
    <t>Category</t>
  </si>
  <si>
    <t>Agency Inputs</t>
  </si>
  <si>
    <t>Amounts</t>
  </si>
  <si>
    <t>Enforcement Hours</t>
  </si>
  <si>
    <t>Grant Funds</t>
  </si>
  <si>
    <t>Category 100 - Enforcement Salaries</t>
  </si>
  <si>
    <t>Category 200 - Enforcement Fringe</t>
  </si>
  <si>
    <t>Enforcement</t>
  </si>
  <si>
    <t>Enforcement (By Ranks)</t>
  </si>
  <si>
    <t>Actual</t>
  </si>
  <si>
    <t>Wage Rate</t>
  </si>
  <si>
    <t>Fringe Rate</t>
  </si>
  <si>
    <t>TxDOT</t>
  </si>
  <si>
    <t>Qualified Amount</t>
  </si>
  <si>
    <t>Match</t>
  </si>
  <si>
    <t>Total</t>
  </si>
  <si>
    <t xml:space="preserve">TxDOT </t>
  </si>
  <si>
    <t>Total Salaries</t>
  </si>
  <si>
    <t>Salaries</t>
  </si>
  <si>
    <t>Match%</t>
  </si>
  <si>
    <t>Mat</t>
  </si>
  <si>
    <t>Total Wages</t>
  </si>
  <si>
    <t>Total Fringe</t>
  </si>
  <si>
    <t>Total Salary</t>
  </si>
  <si>
    <t>Patrol</t>
  </si>
  <si>
    <t>Total Grant Target</t>
  </si>
  <si>
    <t>Burn rate</t>
  </si>
  <si>
    <t>Sergeant</t>
  </si>
  <si>
    <t>Other</t>
  </si>
  <si>
    <t>Federal Mileage Rate</t>
  </si>
  <si>
    <t>Avg Enforce Period</t>
  </si>
  <si>
    <t>Total Grant</t>
  </si>
  <si>
    <t>Est Miles/Enf Hour</t>
  </si>
  <si>
    <t>Totals</t>
  </si>
  <si>
    <t>Non-Enforcement Costs</t>
  </si>
  <si>
    <t>Enforcement Targets</t>
  </si>
  <si>
    <t>Enf Hours</t>
  </si>
  <si>
    <t>Enf Miles</t>
  </si>
  <si>
    <t>Additional Match</t>
  </si>
  <si>
    <t>Indirect Cost Rate</t>
  </si>
  <si>
    <t>Match Deficit/Surplus</t>
  </si>
  <si>
    <t>Administrative Hours</t>
  </si>
  <si>
    <t>Category 100 - Administrative Salaries</t>
  </si>
  <si>
    <t>Category 200 - Administrative Fringe</t>
  </si>
  <si>
    <t>All Cat 100-200</t>
  </si>
  <si>
    <t>Fringe</t>
  </si>
  <si>
    <t>Administrative</t>
  </si>
  <si>
    <t>PI&amp;E</t>
  </si>
  <si>
    <t>Budget Programmed</t>
  </si>
  <si>
    <t>Match %</t>
  </si>
  <si>
    <t>Budget Items</t>
  </si>
  <si>
    <t>TxDOT Total</t>
  </si>
  <si>
    <t>Match Total</t>
  </si>
  <si>
    <t>Grant Total</t>
  </si>
  <si>
    <t>Administrative Fringe</t>
  </si>
  <si>
    <t>Administraive Salaries</t>
  </si>
  <si>
    <t>Enforcement Budget</t>
  </si>
  <si>
    <t>Enforcement Fringe</t>
  </si>
  <si>
    <t>Enforcement Salaries</t>
  </si>
  <si>
    <t>Estimated Enforcement Mileage</t>
  </si>
  <si>
    <t>Reimbursable Mileage</t>
  </si>
  <si>
    <t>Match Mileage</t>
  </si>
  <si>
    <t>Non-Enforcement</t>
  </si>
  <si>
    <t>Aditional Match</t>
  </si>
  <si>
    <t>Indirect Cost</t>
  </si>
  <si>
    <t>Administrative Targets</t>
  </si>
  <si>
    <t>All Categories</t>
  </si>
  <si>
    <t>Projected Expend /Enf Hour</t>
  </si>
  <si>
    <t>Administrative Budget</t>
  </si>
  <si>
    <t>Budget Summary</t>
  </si>
  <si>
    <t>Projected Hours</t>
  </si>
  <si>
    <t>Element</t>
  </si>
  <si>
    <t>Percentage</t>
  </si>
  <si>
    <t>FICA</t>
  </si>
  <si>
    <t>Worker's Comp</t>
  </si>
  <si>
    <t>Pension/Retirement</t>
  </si>
  <si>
    <t>Health Insurance</t>
  </si>
  <si>
    <t>Law Enforcement Summary</t>
  </si>
  <si>
    <t>Number of Enforcement Hours</t>
  </si>
  <si>
    <t>PI&amp;E Performance Measure</t>
  </si>
  <si>
    <t>Conduct Presentations</t>
  </si>
  <si>
    <t>Conduct Media Exposures</t>
  </si>
  <si>
    <t>Conduct Community Events</t>
  </si>
  <si>
    <t>Travel and Per Diem - STEP Enforcement Mileage</t>
  </si>
  <si>
    <t>Number of Miles Proposed</t>
  </si>
  <si>
    <t>Budget Category</t>
  </si>
  <si>
    <t>Category I - Labor Costs</t>
  </si>
  <si>
    <t>Fringe Benefits</t>
  </si>
  <si>
    <t>Category I Sub-Total</t>
  </si>
  <si>
    <t>Category II - Other Direct Costs</t>
  </si>
  <si>
    <t>Category II Sub-Total</t>
  </si>
  <si>
    <t>Total Direct Costs</t>
  </si>
  <si>
    <t>Category III - Indirect Costs</t>
  </si>
  <si>
    <t>Summary</t>
  </si>
  <si>
    <t>Total Labor Costs</t>
  </si>
  <si>
    <t>Total Indirect Costs</t>
  </si>
  <si>
    <t>Grand Total</t>
  </si>
  <si>
    <t>Fund Sources (Percent Share)</t>
  </si>
  <si>
    <t>Category 1</t>
  </si>
  <si>
    <t>Category II</t>
  </si>
  <si>
    <t>Category III</t>
  </si>
  <si>
    <t>Calc Fringe</t>
  </si>
  <si>
    <t>TxDOT Funding Amount</t>
  </si>
  <si>
    <t>Requirement: Texas Traffic Safety Program Manual states: that mileage for non-personal vehicle usage will be reimbursed according to the subgrantee’s rate, not to exceed the state vehicle mileage rate. The subgrantee must provide documentation verifying its average cost per mile to operate patrol or fleet vehicles prior to being reimbursed for vehicle miles traveled. These evidences must be available for audit if requested by state or federal officials.</t>
  </si>
  <si>
    <t xml:space="preserve">
Purpose: To assist STEP subgrantees in documenting the operational cost per vehicle mileage rate for enforcement vehicles. The documented rate can then be included in Texas traffic safety proposals/grants either for reimbursement (up to the current state rate) or as match (up to the documented rate per mile). </t>
  </si>
  <si>
    <t>Note: The state/IRS rate is not sufficient to document or support the enforcement rate per mile. The enforcement mileage must be calculated based on actual (historical) costs to operate patrol vehicles.</t>
  </si>
  <si>
    <t>Unit #</t>
  </si>
  <si>
    <t>Original Vehicle Cost</t>
  </si>
  <si>
    <t>Life Expectancy (In Years)</t>
  </si>
  <si>
    <t>Maintenance Costs</t>
  </si>
  <si>
    <t>Fuel Costs</t>
  </si>
  <si>
    <t>Yearly Miles</t>
  </si>
  <si>
    <t>OP Cost/Mile</t>
  </si>
  <si>
    <t>Vehicle 1</t>
  </si>
  <si>
    <t>Vehicle 2</t>
  </si>
  <si>
    <t>Vehicle 3</t>
  </si>
  <si>
    <t>Vehicle 4</t>
  </si>
  <si>
    <t>Vehicle 5</t>
  </si>
  <si>
    <t xml:space="preserve">Average Operational Cost of the Vehicle per Mile   </t>
  </si>
  <si>
    <t xml:space="preserve">
The calculator will provide the operational cost per mile for each vehicle listed above and will provide the Average Operational Cost of the Vehicle per mile rate. This is the rate that can be used in the Texas traffic safety grants and proposals.</t>
  </si>
  <si>
    <t>Instructions:</t>
  </si>
  <si>
    <t>Unit # : Provide your agency’s inventory number or other identifying number for each vehicle. To assist in calculating your agency’s average enforcement mileage rate, we are requesting information from a sampling of five (5) patrol vehicles. The calculator will average the costs from all vehicles to arrive at the average operational cost per vehicle mile. If your agency does not have at least five patrol vehicles that are used for enforcement, include the requested information for the vehicles that you have.</t>
  </si>
  <si>
    <t xml:space="preserve">
Original Vehicle Cost : Provide each vehicle’s total cost. (The total cost could include vehicle base cost, equipment/accessories and preparation costs).</t>
  </si>
  <si>
    <t xml:space="preserve">
Life Expectancy (In Years) : Provide the number of years that your agency expects the vehicle(s) will be used for enforcement activities. Many agencies have policies stating vehicles will be used for a specific time period (years) and some agencies determine mileage as the basis for vehicle retirement from enforcement. If mileage is used, determine the average number of years it takes for agency’s vehicles to reach their mileage limit.    </t>
  </si>
  <si>
    <t xml:space="preserve">
Maintenance Costs : Provide historical maintenance costs for the latest 12 month period available for each vehicle. Maintenance costs can also include annual liability insurance costs. </t>
  </si>
  <si>
    <t xml:space="preserve"> 
Fuel Costs : Provide historical fuel costs for the latest 12 month period available for each vehicle. </t>
  </si>
  <si>
    <t>Yearly Miles: Provide the yearly enforcement miles for each vehicle. Use each vehicle’s mileage logs or other available information to document the average number of enforcement miles driven annually or simply divide the mileage by the number of years the vehicle has been in use for enforcement activities.</t>
  </si>
  <si>
    <t>Vehicle Oper. Cost/Mile</t>
  </si>
  <si>
    <t>Gross Salary</t>
  </si>
  <si>
    <t>Amount</t>
  </si>
  <si>
    <t>Fringe %</t>
  </si>
  <si>
    <t>Witholding</t>
  </si>
  <si>
    <t>NA</t>
  </si>
  <si>
    <t>Average OT shift (Hours)</t>
  </si>
  <si>
    <t>Estimated Total Shifts Per EP</t>
  </si>
  <si>
    <t>Enforcement Zone and OT Shift Disribution</t>
  </si>
  <si>
    <t>EZs to be worked each EP</t>
  </si>
  <si>
    <t>Est. Hrs. per shift per EZ</t>
  </si>
  <si>
    <t>Est. Stops per shift per EZ</t>
  </si>
  <si>
    <t>Est. Enf Days per EZ per EP</t>
  </si>
  <si>
    <t>Total Enf Hrs. per EZ per EP</t>
  </si>
  <si>
    <t>Salary/Hrs</t>
  </si>
  <si>
    <t>% Match By Rank</t>
  </si>
  <si>
    <t>Admin</t>
  </si>
  <si>
    <t>Total TxDOT Value</t>
  </si>
  <si>
    <t>Other Admin Max</t>
  </si>
  <si>
    <t>Total Other Admin Burn</t>
  </si>
  <si>
    <t>Total Other Admin Hours</t>
  </si>
  <si>
    <t>Other Admin %</t>
  </si>
  <si>
    <t>Avail Other Admin Hours</t>
  </si>
  <si>
    <t>Admin Max</t>
  </si>
  <si>
    <t>Mileage</t>
  </si>
  <si>
    <t>TxDOT Value Per mile</t>
  </si>
  <si>
    <t>Total value per mile</t>
  </si>
  <si>
    <t>Miles per Enf Hour</t>
  </si>
  <si>
    <t>Enforcement Burn+Mileage</t>
  </si>
  <si>
    <t>Enforcement burn-mileage</t>
  </si>
  <si>
    <t>Enforcement Hours-mileage</t>
  </si>
  <si>
    <t>All</t>
  </si>
  <si>
    <t>Enforcement Mileage</t>
  </si>
  <si>
    <t>Minimum Match</t>
  </si>
  <si>
    <t>% Match By Duty</t>
  </si>
  <si>
    <t>Total Miles</t>
  </si>
  <si>
    <t>% Time for PI&amp;E Admin</t>
  </si>
  <si>
    <t>Admin Hours</t>
  </si>
  <si>
    <t>PI&amp;E Hours</t>
  </si>
  <si>
    <t>AdmHrs/Enf Hrs</t>
  </si>
  <si>
    <t>% of Mileage for Match</t>
  </si>
  <si>
    <t>% Non-Enf Costs for Match</t>
  </si>
  <si>
    <t>% Indirect Cost Rate as Match</t>
  </si>
  <si>
    <t>% Enf Hours used for Arrests</t>
  </si>
  <si>
    <t>Hour Distribution</t>
  </si>
  <si>
    <t>Hours</t>
  </si>
  <si>
    <t>Wage</t>
  </si>
  <si>
    <t>Rate</t>
  </si>
  <si>
    <t>TxDOT  </t>
  </si>
  <si>
    <t>Salaries  </t>
  </si>
  <si>
    <t>Match  </t>
  </si>
  <si>
    <t>Total  </t>
  </si>
  <si>
    <t>%</t>
  </si>
  <si>
    <t>A. Enforcement</t>
  </si>
  <si>
    <t>Lieutenant/Other</t>
  </si>
  <si>
    <t>B. PI&amp;E Activities</t>
  </si>
  <si>
    <t>C. Administrative Duties</t>
  </si>
  <si>
    <t>PI&amp;E Activities</t>
  </si>
  <si>
    <t>eGrants Match Rate</t>
  </si>
  <si>
    <t>Distrib</t>
  </si>
  <si>
    <t>300-700</t>
  </si>
  <si>
    <t>Non-Enforcement Expenses</t>
  </si>
  <si>
    <t>Absoute Match Value per mile</t>
  </si>
  <si>
    <t>Est. Stops</t>
  </si>
  <si>
    <t>Y</t>
  </si>
  <si>
    <t>Original Budget</t>
  </si>
  <si>
    <t>CIOT</t>
  </si>
  <si>
    <t>IDM</t>
  </si>
  <si>
    <t>COMP/CMV</t>
  </si>
  <si>
    <t>Select Enforcement Periods</t>
  </si>
  <si>
    <t>N</t>
  </si>
  <si>
    <t>CMV?</t>
  </si>
  <si>
    <t>Administrative Assistant</t>
  </si>
  <si>
    <t>Lieutenant</t>
  </si>
  <si>
    <t>Finance</t>
  </si>
  <si>
    <t>Grant Admin Adjustment</t>
  </si>
  <si>
    <t>Enter Data into yellw boxes as it appears in current grant budget</t>
  </si>
  <si>
    <t>B. Administrative and PI&amp;E</t>
  </si>
  <si>
    <t>Total Paid Admin (100+200)</t>
  </si>
  <si>
    <t>Total TxDOT Award</t>
  </si>
  <si>
    <t>% Paid Admin vs. Total Award</t>
  </si>
  <si>
    <t>Max Allowed Zones</t>
  </si>
  <si>
    <t>Total Selected Amount:</t>
  </si>
  <si>
    <t>Exemption Amount:</t>
  </si>
  <si>
    <t>Eligible Amount:</t>
  </si>
  <si>
    <t>Total Cost:</t>
  </si>
  <si>
    <t>TxDOT award</t>
  </si>
  <si>
    <t>Min match req</t>
  </si>
  <si>
    <t>%Match</t>
  </si>
  <si>
    <t>Position/Rank</t>
  </si>
  <si>
    <t>Salary</t>
  </si>
  <si>
    <t>Fringe Rt</t>
  </si>
  <si>
    <t>ICR</t>
  </si>
  <si>
    <t>Value entered</t>
  </si>
  <si>
    <t>Indirect Cost (Check every category box)</t>
  </si>
  <si>
    <t>Distribution of Indirect Cost</t>
  </si>
  <si>
    <t>Total Sworn Officers</t>
  </si>
  <si>
    <t>Total Sworn Positions</t>
  </si>
  <si>
    <t>Total Officers expressing interest</t>
  </si>
  <si>
    <t>Average OT shift</t>
  </si>
  <si>
    <t>Estimated OT Shifts/Officer/Enf Period</t>
  </si>
  <si>
    <t>Estimated OT Rate</t>
  </si>
  <si>
    <t>Estimated OT Fringe Rate</t>
  </si>
  <si>
    <t>Estimated 100-200 Hourly Rate</t>
  </si>
  <si>
    <t>Estimated Enforcement Hours</t>
  </si>
  <si>
    <t>CIOT/OpSlow</t>
  </si>
  <si>
    <t>Estimated Enforcement Cost</t>
  </si>
  <si>
    <t>Projected Officer Interest</t>
  </si>
  <si>
    <t>Average Officer Availability/EP</t>
  </si>
  <si>
    <t>Estimated Agency Capacity</t>
  </si>
  <si>
    <t>Estimated Maximum TxDOT Award</t>
  </si>
  <si>
    <t>Total EP's</t>
  </si>
  <si>
    <t>Enforcement Zones</t>
  </si>
  <si>
    <t>Max Enforcement Zones</t>
  </si>
  <si>
    <t>eGrants Match</t>
  </si>
  <si>
    <t>Multiplier</t>
  </si>
  <si>
    <t>Select</t>
  </si>
  <si>
    <t>x</t>
  </si>
  <si>
    <t>Selected</t>
  </si>
  <si>
    <t>Fringe Rate Estimator A</t>
  </si>
  <si>
    <t>Fringe Rate Estimator B</t>
  </si>
  <si>
    <t>Total Enforcement Periods</t>
  </si>
  <si>
    <t>Agency Information</t>
  </si>
  <si>
    <t>Estimates by Mobilization Type</t>
  </si>
  <si>
    <t>Maximum Allowed Zones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</si>
</sst>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8" formatCode="&quot;$&quot;#,##0.00_);[Red]\(&quot;$&quot;#,##0.00\)"/>
    <numFmt numFmtId="164" formatCode="0.000"/>
    <numFmt numFmtId="165" formatCode="&quot;$&quot;#,##0"/>
    <numFmt numFmtId="166" formatCode="&quot;$&quot;#,##0.00"/>
    <numFmt numFmtId="167" formatCode="&quot;$&quot;#,##0.000"/>
    <numFmt numFmtId="168" formatCode="0.0%"/>
    <numFmt numFmtId="169" formatCode="0.000%"/>
    <numFmt numFmtId="170" formatCode="0.0000"/>
  </numFmts>
  <fonts count="34">
    <font>
      <sz val="11"/>
      <color rgb="FF000000"/>
      <name val="Calibri"/>
    </font>
    <font>
      <sz val="11"/>
      <color theme="1"/>
      <name val="Calibri"/>
      <family val="2"/>
      <scheme val="minor"/>
    </font>
    <font>
      <b/>
      <sz val="11"/>
      <color rgb="FF000000"/>
      <name val="Calibri"/>
      <family val="2"/>
    </font>
    <font>
      <b/>
      <sz val="11"/>
      <color rgb="FFFFFFFF"/>
      <name val="Calibri"/>
      <family val="2"/>
    </font>
    <font>
      <sz val="11"/>
      <name val="Calibri"/>
      <family val="2"/>
    </font>
    <font>
      <sz val="12"/>
      <color rgb="FF000000"/>
      <name val="Calibri"/>
      <family val="2"/>
    </font>
    <font>
      <b/>
      <sz val="12"/>
      <color rgb="FFFFFFFF"/>
      <name val="Calibri"/>
      <family val="2"/>
    </font>
    <font>
      <sz val="11"/>
      <color rgb="FFFFFFFF"/>
      <name val="Calibri"/>
      <family val="2"/>
    </font>
    <font>
      <b/>
      <sz val="11"/>
      <name val="Calibri"/>
      <family val="2"/>
    </font>
    <font>
      <sz val="11"/>
      <name val="Calibri"/>
      <family val="2"/>
    </font>
    <font>
      <b/>
      <sz val="11"/>
      <color rgb="FFFFFFFF"/>
      <name val="Calibri"/>
      <family val="2"/>
    </font>
    <font>
      <sz val="11"/>
      <color rgb="FF000000"/>
      <name val="Calibri"/>
      <family val="2"/>
    </font>
    <font>
      <b/>
      <sz val="11"/>
      <color rgb="FF000000"/>
      <name val="Calibri"/>
      <family val="2"/>
    </font>
    <font>
      <sz val="11"/>
      <name val="Calibri"/>
      <family val="2"/>
    </font>
    <font>
      <sz val="11"/>
      <color theme="0"/>
      <name val="Calibri"/>
      <family val="2"/>
    </font>
    <font>
      <b/>
      <sz val="11"/>
      <color theme="0"/>
      <name val="Calibri"/>
      <family val="2"/>
    </font>
    <font>
      <b/>
      <sz val="11"/>
      <name val="Calibri"/>
      <family val="2"/>
    </font>
    <font>
      <sz val="9"/>
      <color indexed="81"/>
      <name val="Tahoma"/>
      <family val="2"/>
    </font>
    <font>
      <b/>
      <sz val="9"/>
      <color indexed="81"/>
      <name val="Tahoma"/>
      <family val="2"/>
    </font>
    <font>
      <sz val="11"/>
      <color rgb="FF000000"/>
      <name val="Calibri"/>
      <family val="2"/>
    </font>
    <font>
      <u/>
      <sz val="11"/>
      <color theme="10"/>
      <name val="Calibri"/>
      <family val="2"/>
    </font>
    <font>
      <sz val="9"/>
      <color rgb="FF000000"/>
      <name val="Arial"/>
      <family val="2"/>
    </font>
    <font>
      <sz val="11"/>
      <color rgb="FFFFFFFF"/>
      <name val="Calibri"/>
      <family val="2"/>
    </font>
    <font>
      <b/>
      <sz val="9"/>
      <color rgb="FF000000"/>
      <name val="Arial"/>
      <family val="2"/>
    </font>
    <font>
      <sz val="10"/>
      <name val="Arial"/>
      <family val="2"/>
    </font>
    <font>
      <b/>
      <sz val="10"/>
      <name val="Verdana|Times New Roman"/>
    </font>
    <font>
      <b/>
      <sz val="10"/>
      <color indexed="10"/>
      <name val="Arial"/>
      <family val="2"/>
    </font>
    <font>
      <b/>
      <sz val="10"/>
      <name val="Arial"/>
      <family val="2"/>
    </font>
    <font>
      <b/>
      <u/>
      <sz val="8"/>
      <color rgb="FF000000"/>
      <name val="Arial"/>
      <family val="2"/>
    </font>
    <font>
      <b/>
      <sz val="8"/>
      <color rgb="FF000000"/>
      <name val="Arial"/>
      <family val="2"/>
    </font>
    <font>
      <sz val="8"/>
      <color rgb="FF000000"/>
      <name val="Arial"/>
      <family val="2"/>
    </font>
    <font>
      <sz val="8"/>
      <color rgb="FF000000"/>
      <name val="Calibri"/>
      <family val="2"/>
    </font>
    <font>
      <b/>
      <sz val="16"/>
      <color rgb="FFFFFFFF"/>
      <name val="Calibri"/>
      <family val="2"/>
    </font>
    <font>
      <sz val="16"/>
      <color rgb="FF000000"/>
      <name val="Calibri"/>
      <family val="2"/>
    </font>
  </fonts>
  <fills count="27">
    <fill>
      <patternFill patternType="none"/>
    </fill>
    <fill>
      <patternFill patternType="gray125"/>
    </fill>
    <fill>
      <patternFill patternType="solid">
        <fgColor rgb="FFFFFF00"/>
        <bgColor rgb="FFFFFF00"/>
      </patternFill>
    </fill>
    <fill>
      <patternFill patternType="solid">
        <fgColor rgb="FF000000"/>
        <bgColor rgb="FF000000"/>
      </patternFill>
    </fill>
    <fill>
      <patternFill patternType="solid">
        <fgColor rgb="FF0070C0"/>
        <bgColor rgb="FF0070C0"/>
      </patternFill>
    </fill>
    <fill>
      <patternFill patternType="solid">
        <fgColor rgb="FFEFEFEF"/>
        <bgColor rgb="FFEFEFEF"/>
      </patternFill>
    </fill>
    <fill>
      <patternFill patternType="solid">
        <fgColor rgb="FFD8D8D8"/>
        <bgColor rgb="FFD8D8D8"/>
      </patternFill>
    </fill>
    <fill>
      <patternFill patternType="solid">
        <fgColor rgb="FFD0CECE"/>
        <bgColor rgb="FFD0CECE"/>
      </patternFill>
    </fill>
    <fill>
      <patternFill patternType="solid">
        <fgColor rgb="FF0070C0"/>
        <bgColor indexed="64"/>
      </patternFill>
    </fill>
    <fill>
      <patternFill patternType="solid">
        <fgColor rgb="FF0070C0"/>
        <bgColor rgb="FFD0CECE"/>
      </patternFill>
    </fill>
    <fill>
      <patternFill patternType="solid">
        <fgColor rgb="FF0070C0"/>
        <bgColor rgb="FF000000"/>
      </patternFill>
    </fill>
    <fill>
      <patternFill patternType="solid">
        <fgColor theme="1"/>
        <bgColor indexed="64"/>
      </patternFill>
    </fill>
    <fill>
      <patternFill patternType="solid">
        <fgColor rgb="FFFFFFFF"/>
        <bgColor indexed="64"/>
      </patternFill>
    </fill>
    <fill>
      <patternFill patternType="solid">
        <fgColor rgb="FFE6EBF5"/>
        <bgColor indexed="64"/>
      </patternFill>
    </fill>
    <fill>
      <patternFill patternType="solid">
        <fgColor rgb="FFFFFACD"/>
        <bgColor indexed="64"/>
      </patternFill>
    </fill>
    <fill>
      <patternFill patternType="solid">
        <fgColor rgb="FFF2F2F2"/>
        <bgColor indexed="64"/>
      </patternFill>
    </fill>
    <fill>
      <patternFill patternType="solid">
        <fgColor rgb="FFFFFF00"/>
        <bgColor indexed="64"/>
      </patternFill>
    </fill>
    <fill>
      <patternFill patternType="solid">
        <fgColor theme="1"/>
        <bgColor rgb="FFFFFF00"/>
      </patternFill>
    </fill>
    <fill>
      <patternFill patternType="solid">
        <fgColor theme="0" tint="-0.249977111117893"/>
        <bgColor rgb="FF00B050"/>
      </patternFill>
    </fill>
    <fill>
      <patternFill patternType="solid">
        <fgColor theme="0" tint="-0.249977111117893"/>
        <bgColor indexed="64"/>
      </patternFill>
    </fill>
    <fill>
      <patternFill patternType="solid">
        <fgColor theme="0" tint="-0.249977111117893"/>
        <bgColor rgb="FF0070C0"/>
      </patternFill>
    </fill>
    <fill>
      <patternFill patternType="solid">
        <fgColor rgb="FF99CCFF"/>
        <bgColor indexed="64"/>
      </patternFill>
    </fill>
    <fill>
      <patternFill patternType="solid">
        <fgColor rgb="FF00B050"/>
        <bgColor indexed="64"/>
      </patternFill>
    </fill>
    <fill>
      <patternFill patternType="solid">
        <fgColor theme="0" tint="-0.14999847407452621"/>
        <bgColor indexed="64"/>
      </patternFill>
    </fill>
    <fill>
      <patternFill patternType="solid">
        <fgColor rgb="FFFFC000"/>
        <bgColor rgb="FF000000"/>
      </patternFill>
    </fill>
    <fill>
      <patternFill patternType="solid">
        <fgColor rgb="FFFFC000"/>
        <bgColor indexed="64"/>
      </patternFill>
    </fill>
    <fill>
      <patternFill patternType="solid">
        <fgColor theme="6" tint="0.79998168889431442"/>
        <bgColor indexed="64"/>
      </patternFill>
    </fill>
  </fills>
  <borders count="135">
    <border>
      <left/>
      <right/>
      <top/>
      <bottom/>
      <diagonal/>
    </border>
    <border>
      <left style="medium">
        <color rgb="FF000000"/>
      </left>
      <right style="medium">
        <color rgb="FF000000"/>
      </right>
      <top style="medium">
        <color rgb="FF000000"/>
      </top>
      <bottom style="thin">
        <color rgb="FF000000"/>
      </bottom>
      <diagonal/>
    </border>
    <border>
      <left style="thin">
        <color rgb="FF000000"/>
      </left>
      <right/>
      <top style="thin">
        <color rgb="FF000000"/>
      </top>
      <bottom/>
      <diagonal/>
    </border>
    <border>
      <left style="medium">
        <color rgb="FF000000"/>
      </left>
      <right/>
      <top style="medium">
        <color rgb="FF000000"/>
      </top>
      <bottom style="thin">
        <color rgb="FF000000"/>
      </bottom>
      <diagonal/>
    </border>
    <border>
      <left/>
      <right/>
      <top style="thin">
        <color rgb="FF000000"/>
      </top>
      <bottom/>
      <diagonal/>
    </border>
    <border>
      <left/>
      <right style="thin">
        <color rgb="FF000000"/>
      </right>
      <top style="medium">
        <color rgb="FF000000"/>
      </top>
      <bottom style="thin">
        <color rgb="FF000000"/>
      </bottom>
      <diagonal/>
    </border>
    <border>
      <left/>
      <right style="thin">
        <color rgb="FF000000"/>
      </right>
      <top style="thin">
        <color rgb="FF000000"/>
      </top>
      <bottom/>
      <diagonal/>
    </border>
    <border>
      <left style="medium">
        <color rgb="FF000000"/>
      </left>
      <right style="medium">
        <color rgb="FF000000"/>
      </right>
      <top style="thin">
        <color rgb="FF000000"/>
      </top>
      <bottom style="thin">
        <color rgb="FF000000"/>
      </bottom>
      <diagonal/>
    </border>
    <border>
      <left style="thin">
        <color rgb="FF000000"/>
      </left>
      <right/>
      <top/>
      <bottom/>
      <diagonal/>
    </border>
    <border>
      <left style="medium">
        <color rgb="FF000000"/>
      </left>
      <right/>
      <top style="thin">
        <color rgb="FF000000"/>
      </top>
      <bottom style="thin">
        <color rgb="FF000000"/>
      </bottom>
      <diagonal/>
    </border>
    <border>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style="thin">
        <color rgb="FF000000"/>
      </right>
      <top/>
      <bottom style="thin">
        <color rgb="FF000000"/>
      </bottom>
      <diagonal/>
    </border>
    <border>
      <left/>
      <right style="medium">
        <color rgb="FF000000"/>
      </right>
      <top style="thin">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bottom style="thin">
        <color rgb="FF000000"/>
      </bottom>
      <diagonal/>
    </border>
    <border>
      <left/>
      <right style="medium">
        <color rgb="FF000000"/>
      </right>
      <top style="medium">
        <color rgb="FF000000"/>
      </top>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bottom/>
      <diagonal/>
    </border>
    <border>
      <left/>
      <right style="medium">
        <color rgb="FF000000"/>
      </right>
      <top/>
      <bottom/>
      <diagonal/>
    </border>
    <border>
      <left style="medium">
        <color rgb="FF000000"/>
      </left>
      <right style="thin">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style="medium">
        <color rgb="FF000000"/>
      </top>
      <bottom style="medium">
        <color rgb="FF000000"/>
      </bottom>
      <diagonal/>
    </border>
    <border>
      <left/>
      <right style="thin">
        <color rgb="FF000000"/>
      </right>
      <top/>
      <bottom style="medium">
        <color rgb="FF000000"/>
      </bottom>
      <diagonal/>
    </border>
    <border>
      <left/>
      <right style="thin">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rgb="FF000000"/>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rgb="FF000000"/>
      </right>
      <top/>
      <bottom/>
      <diagonal/>
    </border>
    <border>
      <left/>
      <right style="medium">
        <color indexed="64"/>
      </right>
      <top/>
      <bottom/>
      <diagonal/>
    </border>
    <border>
      <left/>
      <right/>
      <top/>
      <bottom style="medium">
        <color indexed="64"/>
      </bottom>
      <diagonal/>
    </border>
    <border>
      <left style="medium">
        <color rgb="FF000000"/>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bottom style="medium">
        <color rgb="FF000000"/>
      </bottom>
      <diagonal/>
    </border>
    <border>
      <left/>
      <right style="medium">
        <color indexed="64"/>
      </right>
      <top style="medium">
        <color rgb="FF000000"/>
      </top>
      <bottom/>
      <diagonal/>
    </border>
    <border>
      <left style="medium">
        <color indexed="64"/>
      </left>
      <right/>
      <top/>
      <bottom/>
      <diagonal/>
    </border>
    <border>
      <left style="medium">
        <color indexed="64"/>
      </left>
      <right style="medium">
        <color rgb="FF000000"/>
      </right>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indexed="64"/>
      </left>
      <right style="thin">
        <color rgb="FF000000"/>
      </right>
      <top/>
      <bottom style="medium">
        <color rgb="FF000000"/>
      </bottom>
      <diagonal/>
    </border>
    <border>
      <left style="medium">
        <color indexed="64"/>
      </left>
      <right/>
      <top/>
      <bottom style="medium">
        <color indexed="64"/>
      </bottom>
      <diagonal/>
    </border>
    <border>
      <left style="medium">
        <color rgb="FF000000"/>
      </left>
      <right style="medium">
        <color rgb="FF000000"/>
      </right>
      <top style="medium">
        <color rgb="FF000000"/>
      </top>
      <bottom style="medium">
        <color indexed="64"/>
      </bottom>
      <diagonal/>
    </border>
    <border>
      <left style="medium">
        <color indexed="64"/>
      </left>
      <right/>
      <top style="medium">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CCCCCC"/>
      </left>
      <right style="medium">
        <color rgb="FFCCCCCC"/>
      </right>
      <top style="medium">
        <color rgb="FFCCCCCC"/>
      </top>
      <bottom style="medium">
        <color rgb="FFCCCCCC"/>
      </bottom>
      <diagonal/>
    </border>
    <border>
      <left style="medium">
        <color rgb="FFCCCCCC"/>
      </left>
      <right/>
      <top style="medium">
        <color rgb="FFCCCCCC"/>
      </top>
      <bottom style="medium">
        <color rgb="FFCCCCCC"/>
      </bottom>
      <diagonal/>
    </border>
    <border>
      <left/>
      <right style="medium">
        <color rgb="FFCCCCCC"/>
      </right>
      <top style="medium">
        <color rgb="FFCCCCCC"/>
      </top>
      <bottom style="medium">
        <color rgb="FFCCCCCC"/>
      </bottom>
      <diagonal/>
    </border>
    <border>
      <left/>
      <right/>
      <top style="medium">
        <color rgb="FFCCCCCC"/>
      </top>
      <bottom style="medium">
        <color rgb="FFCCCCCC"/>
      </bottom>
      <diagonal/>
    </border>
    <border>
      <left style="medium">
        <color rgb="FFCCCCCC"/>
      </left>
      <right style="thin">
        <color rgb="FF000000"/>
      </right>
      <top style="thin">
        <color rgb="FF000000"/>
      </top>
      <bottom style="medium">
        <color rgb="FFCCCCCC"/>
      </bottom>
      <diagonal/>
    </border>
    <border>
      <left style="thin">
        <color indexed="64"/>
      </left>
      <right/>
      <top/>
      <bottom/>
      <diagonal/>
    </border>
    <border>
      <left style="thin">
        <color rgb="FF000000"/>
      </left>
      <right style="thin">
        <color rgb="FF000000"/>
      </right>
      <top style="thin">
        <color rgb="FF000000"/>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diagonal/>
    </border>
    <border>
      <left style="medium">
        <color indexed="64"/>
      </left>
      <right style="medium">
        <color indexed="64"/>
      </right>
      <top style="thin">
        <color indexed="64"/>
      </top>
      <bottom style="medium">
        <color indexed="64"/>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medium">
        <color rgb="FF000000"/>
      </right>
      <top/>
      <bottom style="thin">
        <color rgb="FF000000"/>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top style="thin">
        <color indexed="64"/>
      </top>
      <bottom style="thin">
        <color indexed="64"/>
      </bottom>
      <diagonal/>
    </border>
    <border>
      <left/>
      <right/>
      <top style="thin">
        <color indexed="64"/>
      </top>
      <bottom style="thin">
        <color indexed="64"/>
      </bottom>
      <diagonal/>
    </border>
    <border>
      <left/>
      <right style="medium">
        <color rgb="FF000000"/>
      </right>
      <top style="thin">
        <color indexed="64"/>
      </top>
      <bottom style="thin">
        <color indexed="64"/>
      </bottom>
      <diagonal/>
    </border>
    <border>
      <left style="thin">
        <color rgb="FF000000"/>
      </left>
      <right style="medium">
        <color indexed="64"/>
      </right>
      <top style="thin">
        <color rgb="FF000000"/>
      </top>
      <bottom/>
      <diagonal/>
    </border>
    <border>
      <left style="thin">
        <color rgb="FF000000"/>
      </left>
      <right style="medium">
        <color indexed="64"/>
      </right>
      <top/>
      <bottom style="medium">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rgb="FF000000"/>
      </left>
      <right style="medium">
        <color indexed="64"/>
      </right>
      <top style="medium">
        <color rgb="FF000000"/>
      </top>
      <bottom/>
      <diagonal/>
    </border>
    <border>
      <left style="medium">
        <color indexed="64"/>
      </left>
      <right/>
      <top/>
      <bottom style="medium">
        <color rgb="FF000000"/>
      </bottom>
      <diagonal/>
    </border>
    <border>
      <left style="medium">
        <color rgb="FF000000"/>
      </left>
      <right style="medium">
        <color indexed="64"/>
      </right>
      <top/>
      <bottom style="medium">
        <color rgb="FF000000"/>
      </bottom>
      <diagonal/>
    </border>
    <border>
      <left style="medium">
        <color indexed="64"/>
      </left>
      <right/>
      <top style="medium">
        <color rgb="FF000000"/>
      </top>
      <bottom style="medium">
        <color indexed="64"/>
      </bottom>
      <diagonal/>
    </border>
    <border>
      <left style="thin">
        <color rgb="FF000000"/>
      </left>
      <right style="medium">
        <color indexed="64"/>
      </right>
      <top/>
      <bottom style="thin">
        <color rgb="FF000000"/>
      </bottom>
      <diagonal/>
    </border>
    <border>
      <left style="medium">
        <color rgb="FF000000"/>
      </left>
      <right style="medium">
        <color indexed="64"/>
      </right>
      <top style="medium">
        <color rgb="FF000000"/>
      </top>
      <bottom style="medium">
        <color rgb="FF000000"/>
      </bottom>
      <diagonal/>
    </border>
    <border>
      <left style="medium">
        <color rgb="FF000000"/>
      </left>
      <right style="medium">
        <color indexed="64"/>
      </right>
      <top style="medium">
        <color rgb="FF000000"/>
      </top>
      <bottom style="medium">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9" fontId="19" fillId="0" borderId="0" applyFont="0" applyFill="0" applyBorder="0" applyAlignment="0" applyProtection="0"/>
    <xf numFmtId="0" fontId="20" fillId="0" borderId="0" applyNumberFormat="0" applyFill="0" applyBorder="0" applyAlignment="0" applyProtection="0"/>
    <xf numFmtId="0" fontId="1" fillId="0" borderId="0"/>
  </cellStyleXfs>
  <cellXfs count="483">
    <xf numFmtId="0" fontId="0" fillId="0" borderId="0" xfId="0"/>
    <xf numFmtId="166" fontId="7" fillId="3" borderId="0" xfId="0" applyNumberFormat="1" applyFont="1" applyFill="1" applyAlignment="1">
      <alignment horizontal="center" vertical="center"/>
    </xf>
    <xf numFmtId="0" fontId="0" fillId="0" borderId="12" xfId="0" applyBorder="1" applyAlignment="1">
      <alignment horizontal="center"/>
    </xf>
    <xf numFmtId="1" fontId="0" fillId="0" borderId="12" xfId="0" applyNumberFormat="1" applyBorder="1" applyAlignment="1">
      <alignment horizontal="center" vertical="center"/>
    </xf>
    <xf numFmtId="166" fontId="0" fillId="0" borderId="12" xfId="0" applyNumberFormat="1" applyBorder="1" applyAlignment="1">
      <alignment horizontal="center" vertical="center"/>
    </xf>
    <xf numFmtId="10" fontId="0" fillId="0" borderId="12" xfId="0" applyNumberFormat="1" applyBorder="1" applyAlignment="1">
      <alignment horizontal="center" vertical="center"/>
    </xf>
    <xf numFmtId="10" fontId="7" fillId="3" borderId="0" xfId="0" applyNumberFormat="1" applyFont="1" applyFill="1" applyAlignment="1">
      <alignment horizontal="center" vertical="center"/>
    </xf>
    <xf numFmtId="1" fontId="0" fillId="0" borderId="43" xfId="0" applyNumberFormat="1" applyBorder="1" applyAlignment="1">
      <alignment horizontal="center" vertical="center"/>
    </xf>
    <xf numFmtId="0" fontId="11" fillId="0" borderId="0" xfId="0" applyFont="1"/>
    <xf numFmtId="0" fontId="0" fillId="0" borderId="43" xfId="0" applyBorder="1" applyAlignment="1">
      <alignment horizontal="center"/>
    </xf>
    <xf numFmtId="8" fontId="0" fillId="0" borderId="0" xfId="0" applyNumberFormat="1"/>
    <xf numFmtId="10" fontId="0" fillId="0" borderId="0" xfId="0" applyNumberFormat="1"/>
    <xf numFmtId="6" fontId="0" fillId="0" borderId="0" xfId="0" applyNumberFormat="1"/>
    <xf numFmtId="0" fontId="22" fillId="3" borderId="0" xfId="0" applyFont="1" applyFill="1" applyAlignment="1">
      <alignment horizontal="center"/>
    </xf>
    <xf numFmtId="0" fontId="21" fillId="12" borderId="82" xfId="0" applyFont="1" applyFill="1" applyBorder="1" applyAlignment="1">
      <alignment horizontal="center" vertical="center"/>
    </xf>
    <xf numFmtId="0" fontId="21" fillId="12" borderId="82" xfId="0" applyFont="1" applyFill="1" applyBorder="1" applyAlignment="1">
      <alignment vertical="center"/>
    </xf>
    <xf numFmtId="166" fontId="21" fillId="12" borderId="82" xfId="0" applyNumberFormat="1" applyFont="1" applyFill="1" applyBorder="1" applyAlignment="1">
      <alignment horizontal="center" vertical="center"/>
    </xf>
    <xf numFmtId="166" fontId="21" fillId="15" borderId="82" xfId="0" applyNumberFormat="1" applyFont="1" applyFill="1" applyBorder="1" applyAlignment="1">
      <alignment horizontal="center" vertical="center"/>
    </xf>
    <xf numFmtId="166" fontId="23" fillId="13" borderId="82" xfId="0" applyNumberFormat="1" applyFont="1" applyFill="1" applyBorder="1" applyAlignment="1">
      <alignment horizontal="center" vertical="center"/>
    </xf>
    <xf numFmtId="0" fontId="21" fillId="15" borderId="82" xfId="0" applyFont="1" applyFill="1" applyBorder="1" applyAlignment="1">
      <alignment horizontal="center" vertical="center"/>
    </xf>
    <xf numFmtId="0" fontId="21" fillId="15" borderId="82" xfId="0" applyFont="1" applyFill="1" applyBorder="1" applyAlignment="1">
      <alignment vertical="center"/>
    </xf>
    <xf numFmtId="0" fontId="21" fillId="12" borderId="86" xfId="0" applyFont="1" applyFill="1" applyBorder="1" applyAlignment="1">
      <alignment vertical="center"/>
    </xf>
    <xf numFmtId="0" fontId="23" fillId="13" borderId="82" xfId="0" applyFont="1" applyFill="1" applyBorder="1" applyAlignment="1">
      <alignment horizontal="center" vertical="center"/>
    </xf>
    <xf numFmtId="10" fontId="21" fillId="12" borderId="82" xfId="0" applyNumberFormat="1" applyFont="1" applyFill="1" applyBorder="1" applyAlignment="1">
      <alignment horizontal="center" vertical="center"/>
    </xf>
    <xf numFmtId="0" fontId="24" fillId="0" borderId="44" xfId="0" applyFont="1" applyBorder="1"/>
    <xf numFmtId="0" fontId="25" fillId="0" borderId="45" xfId="0" applyFont="1" applyBorder="1" applyAlignment="1">
      <alignment horizontal="center" wrapText="1"/>
    </xf>
    <xf numFmtId="0" fontId="25" fillId="0" borderId="46" xfId="0" applyFont="1" applyBorder="1" applyAlignment="1">
      <alignment horizontal="center" wrapText="1"/>
    </xf>
    <xf numFmtId="0" fontId="24" fillId="0" borderId="47" xfId="0" applyFont="1" applyBorder="1" applyAlignment="1">
      <alignment horizontal="right"/>
    </xf>
    <xf numFmtId="164" fontId="24" fillId="0" borderId="48" xfId="0" applyNumberFormat="1" applyFont="1" applyBorder="1" applyAlignment="1">
      <alignment wrapText="1"/>
    </xf>
    <xf numFmtId="0" fontId="24" fillId="0" borderId="49" xfId="0" applyFont="1" applyBorder="1"/>
    <xf numFmtId="164" fontId="26" fillId="0" borderId="51" xfId="0" applyNumberFormat="1" applyFont="1" applyBorder="1"/>
    <xf numFmtId="0" fontId="24" fillId="0" borderId="0" xfId="0" applyFont="1"/>
    <xf numFmtId="0" fontId="24" fillId="0" borderId="0" xfId="0" applyFont="1" applyAlignment="1">
      <alignment wrapText="1"/>
    </xf>
    <xf numFmtId="0" fontId="2" fillId="0" borderId="0" xfId="0" applyFont="1" applyAlignment="1">
      <alignment horizontal="center"/>
    </xf>
    <xf numFmtId="0" fontId="0" fillId="0" borderId="0" xfId="0" applyAlignment="1">
      <alignment horizontal="center"/>
    </xf>
    <xf numFmtId="0" fontId="11" fillId="0" borderId="0" xfId="0" applyFont="1" applyAlignment="1">
      <alignment horizontal="center"/>
    </xf>
    <xf numFmtId="0" fontId="20" fillId="0" borderId="0" xfId="2" applyAlignment="1" applyProtection="1">
      <alignment horizontal="center"/>
    </xf>
    <xf numFmtId="166" fontId="0" fillId="0" borderId="0" xfId="0" applyNumberFormat="1" applyAlignment="1">
      <alignment horizontal="center"/>
    </xf>
    <xf numFmtId="1" fontId="0" fillId="0" borderId="12" xfId="0" applyNumberFormat="1" applyBorder="1" applyAlignment="1">
      <alignment horizontal="center"/>
    </xf>
    <xf numFmtId="166" fontId="0" fillId="0" borderId="12" xfId="0" applyNumberFormat="1" applyBorder="1" applyAlignment="1">
      <alignment horizontal="center"/>
    </xf>
    <xf numFmtId="1" fontId="0" fillId="0" borderId="0" xfId="0" applyNumberFormat="1"/>
    <xf numFmtId="166" fontId="3" fillId="0" borderId="0" xfId="0" applyNumberFormat="1" applyFont="1" applyAlignment="1">
      <alignment horizontal="center"/>
    </xf>
    <xf numFmtId="0" fontId="3" fillId="3" borderId="70" xfId="0" applyFont="1" applyFill="1" applyBorder="1" applyAlignment="1">
      <alignment horizontal="center"/>
    </xf>
    <xf numFmtId="0" fontId="3" fillId="3" borderId="63" xfId="0" applyFont="1" applyFill="1" applyBorder="1" applyAlignment="1">
      <alignment horizontal="center"/>
    </xf>
    <xf numFmtId="0" fontId="3" fillId="3" borderId="62" xfId="0" applyFont="1" applyFill="1" applyBorder="1" applyAlignment="1">
      <alignment horizontal="center"/>
    </xf>
    <xf numFmtId="0" fontId="3" fillId="3" borderId="64" xfId="0" applyFont="1" applyFill="1" applyBorder="1" applyAlignment="1">
      <alignment horizontal="center"/>
    </xf>
    <xf numFmtId="166" fontId="14" fillId="8" borderId="32" xfId="0" applyNumberFormat="1" applyFont="1" applyFill="1" applyBorder="1" applyAlignment="1">
      <alignment horizontal="center"/>
    </xf>
    <xf numFmtId="166" fontId="14" fillId="9" borderId="1" xfId="0" applyNumberFormat="1" applyFont="1" applyFill="1" applyBorder="1" applyAlignment="1">
      <alignment horizontal="center"/>
    </xf>
    <xf numFmtId="0" fontId="12" fillId="0" borderId="65" xfId="0" applyFont="1" applyBorder="1" applyAlignment="1">
      <alignment horizontal="center"/>
    </xf>
    <xf numFmtId="0" fontId="0" fillId="0" borderId="0" xfId="0" applyAlignment="1">
      <alignment horizontal="right"/>
    </xf>
    <xf numFmtId="166" fontId="0" fillId="0" borderId="32" xfId="0" applyNumberFormat="1" applyBorder="1" applyAlignment="1">
      <alignment horizontal="center"/>
    </xf>
    <xf numFmtId="166" fontId="0" fillId="6" borderId="7" xfId="0" applyNumberFormat="1" applyFill="1" applyBorder="1" applyAlignment="1">
      <alignment horizontal="center"/>
    </xf>
    <xf numFmtId="166" fontId="0" fillId="0" borderId="66" xfId="0" applyNumberFormat="1" applyBorder="1" applyAlignment="1">
      <alignment horizontal="center"/>
    </xf>
    <xf numFmtId="166" fontId="14" fillId="8" borderId="26" xfId="0" applyNumberFormat="1" applyFont="1" applyFill="1" applyBorder="1" applyAlignment="1">
      <alignment horizontal="center"/>
    </xf>
    <xf numFmtId="166" fontId="15" fillId="4" borderId="72" xfId="0" applyNumberFormat="1" applyFont="1" applyFill="1" applyBorder="1" applyAlignment="1">
      <alignment horizontal="center"/>
    </xf>
    <xf numFmtId="166" fontId="14" fillId="10" borderId="1" xfId="0" applyNumberFormat="1" applyFont="1" applyFill="1" applyBorder="1" applyAlignment="1">
      <alignment horizontal="center"/>
    </xf>
    <xf numFmtId="166" fontId="13" fillId="0" borderId="66" xfId="0" applyNumberFormat="1" applyFont="1" applyBorder="1" applyAlignment="1">
      <alignment horizontal="center"/>
    </xf>
    <xf numFmtId="9" fontId="0" fillId="0" borderId="34" xfId="0" applyNumberFormat="1" applyBorder="1" applyAlignment="1">
      <alignment horizontal="center"/>
    </xf>
    <xf numFmtId="166" fontId="0" fillId="3" borderId="35" xfId="0" applyNumberFormat="1" applyFill="1" applyBorder="1"/>
    <xf numFmtId="166" fontId="9" fillId="0" borderId="66" xfId="0" applyNumberFormat="1" applyFont="1" applyBorder="1" applyAlignment="1">
      <alignment horizontal="center"/>
    </xf>
    <xf numFmtId="0" fontId="12" fillId="0" borderId="74" xfId="0" applyFont="1" applyBorder="1" applyAlignment="1">
      <alignment horizontal="center"/>
    </xf>
    <xf numFmtId="0" fontId="0" fillId="0" borderId="36" xfId="0" applyBorder="1" applyAlignment="1">
      <alignment horizontal="right"/>
    </xf>
    <xf numFmtId="166" fontId="0" fillId="0" borderId="35" xfId="0" applyNumberFormat="1" applyBorder="1" applyAlignment="1">
      <alignment horizontal="center"/>
    </xf>
    <xf numFmtId="166" fontId="0" fillId="6" borderId="23" xfId="0" applyNumberFormat="1" applyFill="1" applyBorder="1" applyAlignment="1">
      <alignment horizontal="center"/>
    </xf>
    <xf numFmtId="166" fontId="9" fillId="0" borderId="71" xfId="0" applyNumberFormat="1" applyFont="1" applyBorder="1" applyAlignment="1">
      <alignment horizontal="center"/>
    </xf>
    <xf numFmtId="0" fontId="16" fillId="0" borderId="75" xfId="0" applyFont="1" applyBorder="1" applyAlignment="1">
      <alignment horizontal="center"/>
    </xf>
    <xf numFmtId="9" fontId="0" fillId="0" borderId="39" xfId="0" applyNumberFormat="1" applyBorder="1" applyAlignment="1">
      <alignment horizontal="center"/>
    </xf>
    <xf numFmtId="166" fontId="0" fillId="3" borderId="35" xfId="0" applyNumberFormat="1" applyFill="1" applyBorder="1" applyAlignment="1">
      <alignment horizontal="center"/>
    </xf>
    <xf numFmtId="166" fontId="0" fillId="6" borderId="37" xfId="0" applyNumberFormat="1" applyFill="1" applyBorder="1" applyAlignment="1">
      <alignment horizontal="center"/>
    </xf>
    <xf numFmtId="166" fontId="3" fillId="4" borderId="71" xfId="0" applyNumberFormat="1" applyFont="1" applyFill="1" applyBorder="1" applyAlignment="1">
      <alignment horizontal="center"/>
    </xf>
    <xf numFmtId="0" fontId="12" fillId="0" borderId="76" xfId="0" applyFont="1" applyBorder="1" applyAlignment="1">
      <alignment horizontal="center" vertical="center"/>
    </xf>
    <xf numFmtId="0" fontId="0" fillId="0" borderId="41" xfId="0" applyBorder="1" applyAlignment="1">
      <alignment horizontal="right"/>
    </xf>
    <xf numFmtId="166" fontId="0" fillId="0" borderId="42" xfId="0" applyNumberFormat="1" applyBorder="1" applyAlignment="1">
      <alignment horizontal="center"/>
    </xf>
    <xf numFmtId="166" fontId="0" fillId="6" borderId="38" xfId="0" applyNumberFormat="1" applyFill="1" applyBorder="1" applyAlignment="1">
      <alignment horizontal="center"/>
    </xf>
    <xf numFmtId="0" fontId="0" fillId="3" borderId="77" xfId="0" applyFill="1" applyBorder="1"/>
    <xf numFmtId="0" fontId="0" fillId="3" borderId="67" xfId="0" applyFill="1" applyBorder="1"/>
    <xf numFmtId="0" fontId="9" fillId="3" borderId="67" xfId="0" applyFont="1" applyFill="1" applyBorder="1"/>
    <xf numFmtId="166" fontId="3" fillId="4" borderId="68" xfId="0" applyNumberFormat="1" applyFont="1" applyFill="1" applyBorder="1" applyAlignment="1">
      <alignment horizontal="center"/>
    </xf>
    <xf numFmtId="166" fontId="8" fillId="7" borderId="78" xfId="0" applyNumberFormat="1" applyFont="1" applyFill="1" applyBorder="1" applyAlignment="1">
      <alignment horizontal="center"/>
    </xf>
    <xf numFmtId="166" fontId="3" fillId="4" borderId="69" xfId="0" applyNumberFormat="1" applyFont="1" applyFill="1" applyBorder="1" applyAlignment="1">
      <alignment horizontal="center"/>
    </xf>
    <xf numFmtId="0" fontId="2" fillId="0" borderId="0" xfId="0" applyFont="1" applyAlignment="1">
      <alignment horizontal="center" vertical="center"/>
    </xf>
    <xf numFmtId="9" fontId="0" fillId="2" borderId="12" xfId="0" applyNumberFormat="1" applyFill="1" applyBorder="1" applyAlignment="1" applyProtection="1">
      <alignment horizontal="center" vertical="center"/>
      <protection locked="0"/>
    </xf>
    <xf numFmtId="166" fontId="0" fillId="2" borderId="12" xfId="0" applyNumberFormat="1" applyFill="1" applyBorder="1" applyAlignment="1" applyProtection="1">
      <alignment horizontal="center" vertical="center"/>
      <protection locked="0"/>
    </xf>
    <xf numFmtId="10" fontId="0" fillId="2" borderId="12" xfId="0" applyNumberFormat="1" applyFill="1" applyBorder="1" applyAlignment="1" applyProtection="1">
      <alignment horizontal="center" vertical="center"/>
      <protection locked="0"/>
    </xf>
    <xf numFmtId="0" fontId="0" fillId="0" borderId="0" xfId="0" applyAlignment="1">
      <alignment horizontal="center" vertical="center"/>
    </xf>
    <xf numFmtId="164" fontId="0" fillId="0" borderId="0" xfId="0" applyNumberFormat="1" applyAlignment="1">
      <alignment horizontal="center" vertical="center"/>
    </xf>
    <xf numFmtId="10" fontId="0" fillId="0" borderId="0" xfId="0" applyNumberFormat="1" applyAlignment="1">
      <alignment horizontal="center" vertical="center"/>
    </xf>
    <xf numFmtId="0" fontId="2" fillId="0" borderId="0" xfId="0" applyFont="1"/>
    <xf numFmtId="164" fontId="2" fillId="0" borderId="0" xfId="0" applyNumberFormat="1" applyFont="1" applyAlignment="1">
      <alignment horizontal="center" vertical="center"/>
    </xf>
    <xf numFmtId="10" fontId="2" fillId="0" borderId="0" xfId="0" applyNumberFormat="1" applyFont="1" applyAlignment="1">
      <alignment horizontal="center" vertical="center"/>
    </xf>
    <xf numFmtId="0" fontId="2" fillId="0" borderId="8" xfId="0" applyFont="1" applyBorder="1" applyAlignment="1">
      <alignment horizontal="center"/>
    </xf>
    <xf numFmtId="0" fontId="2" fillId="0" borderId="10" xfId="0" applyFont="1" applyBorder="1" applyAlignment="1">
      <alignment horizontal="center"/>
    </xf>
    <xf numFmtId="1" fontId="0" fillId="5" borderId="12" xfId="0" applyNumberFormat="1" applyFill="1" applyBorder="1" applyAlignment="1">
      <alignment horizontal="center"/>
    </xf>
    <xf numFmtId="166" fontId="0" fillId="5" borderId="12" xfId="0" applyNumberFormat="1" applyFill="1" applyBorder="1" applyAlignment="1">
      <alignment horizontal="center"/>
    </xf>
    <xf numFmtId="166" fontId="0" fillId="0" borderId="0" xfId="0" applyNumberFormat="1"/>
    <xf numFmtId="166" fontId="0" fillId="0" borderId="0" xfId="0" applyNumberFormat="1" applyAlignment="1">
      <alignment horizontal="center" vertical="center"/>
    </xf>
    <xf numFmtId="0" fontId="7" fillId="3" borderId="0" xfId="0" applyFont="1" applyFill="1"/>
    <xf numFmtId="9" fontId="7" fillId="3" borderId="12" xfId="0" applyNumberFormat="1" applyFont="1" applyFill="1" applyBorder="1" applyAlignment="1">
      <alignment horizontal="center" vertical="center"/>
    </xf>
    <xf numFmtId="166" fontId="7" fillId="3" borderId="12" xfId="0" applyNumberFormat="1" applyFont="1" applyFill="1" applyBorder="1" applyAlignment="1">
      <alignment horizontal="center" vertical="center"/>
    </xf>
    <xf numFmtId="10" fontId="7" fillId="3" borderId="12" xfId="0" applyNumberFormat="1" applyFont="1" applyFill="1" applyBorder="1" applyAlignment="1">
      <alignment horizontal="center" vertical="center"/>
    </xf>
    <xf numFmtId="3" fontId="7" fillId="3" borderId="20" xfId="0" applyNumberFormat="1" applyFont="1" applyFill="1" applyBorder="1" applyAlignment="1">
      <alignment horizontal="center"/>
    </xf>
    <xf numFmtId="3" fontId="7" fillId="3" borderId="21" xfId="0" applyNumberFormat="1" applyFont="1" applyFill="1" applyBorder="1" applyAlignment="1">
      <alignment horizontal="center"/>
    </xf>
    <xf numFmtId="3" fontId="7" fillId="3" borderId="24" xfId="0" applyNumberFormat="1" applyFont="1" applyFill="1" applyBorder="1" applyAlignment="1">
      <alignment horizontal="center"/>
    </xf>
    <xf numFmtId="166" fontId="7" fillId="3" borderId="0" xfId="0" applyNumberFormat="1" applyFont="1" applyFill="1" applyAlignment="1">
      <alignment horizontal="center"/>
    </xf>
    <xf numFmtId="3" fontId="7" fillId="3" borderId="0" xfId="0" applyNumberFormat="1" applyFont="1" applyFill="1" applyAlignment="1">
      <alignment horizontal="center"/>
    </xf>
    <xf numFmtId="2" fontId="0" fillId="0" borderId="0" xfId="0" applyNumberFormat="1"/>
    <xf numFmtId="166" fontId="0" fillId="16" borderId="43" xfId="1" applyNumberFormat="1" applyFont="1" applyFill="1" applyBorder="1" applyAlignment="1" applyProtection="1">
      <alignment horizontal="center" vertical="center"/>
      <protection locked="0"/>
    </xf>
    <xf numFmtId="10" fontId="0" fillId="2" borderId="34" xfId="0" applyNumberFormat="1" applyFill="1" applyBorder="1" applyAlignment="1" applyProtection="1">
      <alignment horizontal="center"/>
      <protection locked="0"/>
    </xf>
    <xf numFmtId="10" fontId="0" fillId="2" borderId="31" xfId="0" applyNumberFormat="1" applyFill="1" applyBorder="1" applyAlignment="1" applyProtection="1">
      <alignment horizontal="center"/>
      <protection locked="0"/>
    </xf>
    <xf numFmtId="10" fontId="0" fillId="2" borderId="40" xfId="0" applyNumberFormat="1" applyFill="1" applyBorder="1" applyAlignment="1" applyProtection="1">
      <alignment horizontal="center"/>
      <protection locked="0"/>
    </xf>
    <xf numFmtId="0" fontId="24" fillId="0" borderId="43" xfId="0" applyFont="1" applyBorder="1" applyProtection="1">
      <protection locked="0"/>
    </xf>
    <xf numFmtId="166" fontId="24" fillId="0" borderId="43" xfId="0" applyNumberFormat="1" applyFont="1" applyBorder="1" applyProtection="1">
      <protection locked="0"/>
    </xf>
    <xf numFmtId="0" fontId="0" fillId="0" borderId="43" xfId="0" applyBorder="1" applyProtection="1">
      <protection locked="0"/>
    </xf>
    <xf numFmtId="3" fontId="24" fillId="0" borderId="43" xfId="0" applyNumberFormat="1" applyFont="1" applyBorder="1" applyProtection="1">
      <protection locked="0"/>
    </xf>
    <xf numFmtId="1" fontId="16" fillId="16" borderId="48" xfId="0" applyNumberFormat="1" applyFont="1" applyFill="1" applyBorder="1" applyAlignment="1" applyProtection="1">
      <alignment horizontal="center"/>
      <protection locked="0"/>
    </xf>
    <xf numFmtId="1" fontId="13" fillId="16" borderId="48" xfId="0" applyNumberFormat="1" applyFont="1" applyFill="1" applyBorder="1" applyAlignment="1" applyProtection="1">
      <alignment horizontal="center"/>
      <protection locked="0"/>
    </xf>
    <xf numFmtId="10" fontId="7" fillId="3" borderId="20" xfId="0" applyNumberFormat="1" applyFont="1" applyFill="1" applyBorder="1" applyAlignment="1">
      <alignment horizontal="center" vertical="center"/>
    </xf>
    <xf numFmtId="166" fontId="14" fillId="11" borderId="12" xfId="0" applyNumberFormat="1" applyFont="1" applyFill="1" applyBorder="1" applyAlignment="1">
      <alignment horizontal="center"/>
    </xf>
    <xf numFmtId="9" fontId="0" fillId="0" borderId="0" xfId="1" applyFont="1" applyAlignment="1" applyProtection="1">
      <alignment horizontal="center" vertical="center"/>
    </xf>
    <xf numFmtId="9" fontId="0" fillId="0" borderId="0" xfId="1" applyFont="1" applyAlignment="1"/>
    <xf numFmtId="2" fontId="0" fillId="0" borderId="0" xfId="1" applyNumberFormat="1" applyFont="1" applyAlignment="1"/>
    <xf numFmtId="10" fontId="0" fillId="2" borderId="43" xfId="0" applyNumberFormat="1" applyFill="1" applyBorder="1" applyAlignment="1" applyProtection="1">
      <alignment horizontal="center" vertical="center"/>
      <protection locked="0"/>
    </xf>
    <xf numFmtId="167" fontId="0" fillId="0" borderId="0" xfId="0" applyNumberFormat="1"/>
    <xf numFmtId="10" fontId="0" fillId="0" borderId="34" xfId="0" applyNumberFormat="1" applyBorder="1" applyAlignment="1">
      <alignment horizontal="center"/>
    </xf>
    <xf numFmtId="0" fontId="9" fillId="0" borderId="0" xfId="0" applyFont="1"/>
    <xf numFmtId="166" fontId="8" fillId="0" borderId="0" xfId="0" applyNumberFormat="1" applyFont="1" applyAlignment="1">
      <alignment horizontal="center"/>
    </xf>
    <xf numFmtId="10" fontId="21" fillId="15" borderId="82" xfId="0" applyNumberFormat="1" applyFont="1" applyFill="1" applyBorder="1" applyAlignment="1">
      <alignment horizontal="center" vertical="center"/>
    </xf>
    <xf numFmtId="0" fontId="2" fillId="0" borderId="2" xfId="0" applyFont="1" applyBorder="1" applyAlignment="1">
      <alignment horizontal="center"/>
    </xf>
    <xf numFmtId="167" fontId="0" fillId="0" borderId="92" xfId="0" applyNumberFormat="1" applyBorder="1" applyAlignment="1" applyProtection="1">
      <alignment horizontal="center"/>
      <protection locked="0"/>
    </xf>
    <xf numFmtId="2" fontId="0" fillId="2" borderId="92" xfId="0" applyNumberFormat="1" applyFill="1" applyBorder="1" applyAlignment="1" applyProtection="1">
      <alignment horizontal="center"/>
      <protection locked="0"/>
    </xf>
    <xf numFmtId="165" fontId="0" fillId="2" borderId="92" xfId="0" applyNumberFormat="1" applyFill="1" applyBorder="1" applyAlignment="1" applyProtection="1">
      <alignment horizontal="center"/>
      <protection locked="0"/>
    </xf>
    <xf numFmtId="10" fontId="0" fillId="2" borderId="93" xfId="0" applyNumberFormat="1" applyFill="1" applyBorder="1" applyAlignment="1" applyProtection="1">
      <alignment horizontal="center"/>
      <protection locked="0"/>
    </xf>
    <xf numFmtId="9" fontId="0" fillId="2" borderId="92" xfId="1" applyFont="1" applyFill="1" applyBorder="1" applyAlignment="1" applyProtection="1">
      <alignment horizontal="center"/>
      <protection locked="0"/>
    </xf>
    <xf numFmtId="9" fontId="0" fillId="2" borderId="94" xfId="1" applyFont="1" applyFill="1" applyBorder="1" applyAlignment="1" applyProtection="1">
      <alignment horizontal="center"/>
      <protection locked="0"/>
    </xf>
    <xf numFmtId="0" fontId="28" fillId="13" borderId="97" xfId="0" applyFont="1" applyFill="1" applyBorder="1" applyAlignment="1">
      <alignment horizontal="center" vertical="center" wrapText="1"/>
    </xf>
    <xf numFmtId="0" fontId="29" fillId="13" borderId="97" xfId="0" applyFont="1" applyFill="1" applyBorder="1" applyAlignment="1">
      <alignment horizontal="center" vertical="center" wrapText="1"/>
    </xf>
    <xf numFmtId="0" fontId="28" fillId="13" borderId="98" xfId="0" applyFont="1" applyFill="1" applyBorder="1" applyAlignment="1">
      <alignment horizontal="center" vertical="center" wrapText="1"/>
    </xf>
    <xf numFmtId="0" fontId="29" fillId="13" borderId="98" xfId="0" applyFont="1" applyFill="1" applyBorder="1" applyAlignment="1">
      <alignment horizontal="center" vertical="center" wrapText="1"/>
    </xf>
    <xf numFmtId="1" fontId="30" fillId="12" borderId="45" xfId="0" applyNumberFormat="1" applyFont="1" applyFill="1" applyBorder="1" applyAlignment="1">
      <alignment horizontal="center" vertical="center" wrapText="1"/>
    </xf>
    <xf numFmtId="166" fontId="30" fillId="12" borderId="45" xfId="0" applyNumberFormat="1" applyFont="1" applyFill="1" applyBorder="1" applyAlignment="1">
      <alignment horizontal="center" vertical="center" wrapText="1"/>
    </xf>
    <xf numFmtId="8" fontId="30" fillId="12" borderId="45" xfId="0" applyNumberFormat="1" applyFont="1" applyFill="1" applyBorder="1" applyAlignment="1">
      <alignment horizontal="center" vertical="center" wrapText="1"/>
    </xf>
    <xf numFmtId="6" fontId="30" fillId="12" borderId="45" xfId="0" applyNumberFormat="1" applyFont="1" applyFill="1" applyBorder="1" applyAlignment="1">
      <alignment horizontal="center" vertical="center" wrapText="1"/>
    </xf>
    <xf numFmtId="8" fontId="30" fillId="15" borderId="46" xfId="0" applyNumberFormat="1" applyFont="1" applyFill="1" applyBorder="1" applyAlignment="1">
      <alignment horizontal="center" vertical="center" wrapText="1"/>
    </xf>
    <xf numFmtId="1" fontId="30" fillId="12" borderId="43" xfId="0" applyNumberFormat="1" applyFont="1" applyFill="1" applyBorder="1" applyAlignment="1">
      <alignment horizontal="center" vertical="center" wrapText="1"/>
    </xf>
    <xf numFmtId="166" fontId="30" fillId="12" borderId="43" xfId="0" applyNumberFormat="1" applyFont="1" applyFill="1" applyBorder="1" applyAlignment="1">
      <alignment horizontal="center" vertical="center" wrapText="1"/>
    </xf>
    <xf numFmtId="8" fontId="30" fillId="12" borderId="43" xfId="0" applyNumberFormat="1" applyFont="1" applyFill="1" applyBorder="1" applyAlignment="1">
      <alignment horizontal="center" vertical="center" wrapText="1"/>
    </xf>
    <xf numFmtId="6" fontId="30" fillId="12" borderId="43" xfId="0" applyNumberFormat="1" applyFont="1" applyFill="1" applyBorder="1" applyAlignment="1">
      <alignment horizontal="center" vertical="center" wrapText="1"/>
    </xf>
    <xf numFmtId="8" fontId="30" fillId="15" borderId="48" xfId="0" applyNumberFormat="1" applyFont="1" applyFill="1" applyBorder="1" applyAlignment="1">
      <alignment horizontal="center" vertical="center" wrapText="1"/>
    </xf>
    <xf numFmtId="1" fontId="30" fillId="12" borderId="50" xfId="0" applyNumberFormat="1" applyFont="1" applyFill="1" applyBorder="1" applyAlignment="1">
      <alignment horizontal="center" vertical="center" wrapText="1"/>
    </xf>
    <xf numFmtId="166" fontId="30" fillId="12" borderId="50" xfId="0" applyNumberFormat="1" applyFont="1" applyFill="1" applyBorder="1" applyAlignment="1">
      <alignment horizontal="center" vertical="center" wrapText="1"/>
    </xf>
    <xf numFmtId="8" fontId="30" fillId="12" borderId="50" xfId="0" applyNumberFormat="1" applyFont="1" applyFill="1" applyBorder="1" applyAlignment="1">
      <alignment horizontal="center" vertical="center" wrapText="1"/>
    </xf>
    <xf numFmtId="6" fontId="30" fillId="12" borderId="50" xfId="0" applyNumberFormat="1" applyFont="1" applyFill="1" applyBorder="1" applyAlignment="1">
      <alignment horizontal="center" vertical="center" wrapText="1"/>
    </xf>
    <xf numFmtId="8" fontId="30" fillId="15" borderId="51" xfId="0" applyNumberFormat="1" applyFont="1" applyFill="1" applyBorder="1" applyAlignment="1">
      <alignment horizontal="center" vertical="center" wrapText="1"/>
    </xf>
    <xf numFmtId="1" fontId="30" fillId="12" borderId="81" xfId="0" applyNumberFormat="1" applyFont="1" applyFill="1" applyBorder="1" applyAlignment="1">
      <alignment horizontal="center" vertical="center" wrapText="1"/>
    </xf>
    <xf numFmtId="8" fontId="30" fillId="15" borderId="43" xfId="0" applyNumberFormat="1" applyFont="1" applyFill="1" applyBorder="1" applyAlignment="1">
      <alignment horizontal="center" vertical="center" wrapText="1"/>
    </xf>
    <xf numFmtId="0" fontId="30" fillId="15" borderId="81" xfId="0" applyFont="1" applyFill="1" applyBorder="1" applyAlignment="1">
      <alignment horizontal="center" vertical="center" wrapText="1"/>
    </xf>
    <xf numFmtId="0" fontId="30" fillId="15" borderId="43" xfId="0" applyFont="1" applyFill="1" applyBorder="1" applyAlignment="1">
      <alignment horizontal="center" vertical="center" wrapText="1"/>
    </xf>
    <xf numFmtId="0" fontId="30" fillId="12" borderId="30" xfId="0" applyFont="1" applyFill="1" applyBorder="1" applyAlignment="1">
      <alignment vertical="center" wrapText="1"/>
    </xf>
    <xf numFmtId="0" fontId="30" fillId="12" borderId="99" xfId="0" applyFont="1" applyFill="1" applyBorder="1" applyAlignment="1">
      <alignment vertical="center" wrapText="1"/>
    </xf>
    <xf numFmtId="0" fontId="28" fillId="13" borderId="42" xfId="0" applyFont="1" applyFill="1" applyBorder="1" applyAlignment="1">
      <alignment horizontal="center" wrapText="1"/>
    </xf>
    <xf numFmtId="0" fontId="30" fillId="12" borderId="38" xfId="0" applyFont="1" applyFill="1" applyBorder="1" applyAlignment="1">
      <alignment vertical="center" wrapText="1"/>
    </xf>
    <xf numFmtId="0" fontId="28" fillId="13" borderId="38" xfId="0" applyFont="1" applyFill="1" applyBorder="1" applyAlignment="1">
      <alignment horizontal="center" wrapText="1"/>
    </xf>
    <xf numFmtId="0" fontId="30" fillId="13" borderId="38" xfId="0" applyFont="1" applyFill="1" applyBorder="1" applyAlignment="1">
      <alignment horizontal="center" vertical="center" wrapText="1"/>
    </xf>
    <xf numFmtId="8" fontId="30" fillId="12" borderId="38" xfId="0" applyNumberFormat="1" applyFont="1" applyFill="1" applyBorder="1" applyAlignment="1">
      <alignment horizontal="center" vertical="center" wrapText="1"/>
    </xf>
    <xf numFmtId="10" fontId="30" fillId="12" borderId="38" xfId="0" applyNumberFormat="1" applyFont="1" applyFill="1" applyBorder="1" applyAlignment="1">
      <alignment horizontal="center" vertical="center" wrapText="1"/>
    </xf>
    <xf numFmtId="0" fontId="30" fillId="12" borderId="38" xfId="0" applyFont="1" applyFill="1" applyBorder="1" applyAlignment="1">
      <alignment horizontal="center" vertical="center" wrapText="1"/>
    </xf>
    <xf numFmtId="8" fontId="30" fillId="12" borderId="42" xfId="0" applyNumberFormat="1" applyFont="1" applyFill="1" applyBorder="1" applyAlignment="1">
      <alignment horizontal="center" vertical="center" wrapText="1"/>
    </xf>
    <xf numFmtId="166" fontId="30" fillId="12" borderId="38" xfId="0" applyNumberFormat="1" applyFont="1" applyFill="1" applyBorder="1" applyAlignment="1">
      <alignment horizontal="center" vertical="center" wrapText="1"/>
    </xf>
    <xf numFmtId="10" fontId="0" fillId="0" borderId="0" xfId="1" applyNumberFormat="1" applyFont="1" applyAlignment="1" applyProtection="1">
      <alignment horizontal="center"/>
    </xf>
    <xf numFmtId="9" fontId="0" fillId="0" borderId="43" xfId="1" applyFont="1" applyBorder="1" applyAlignment="1">
      <alignment horizontal="center"/>
    </xf>
    <xf numFmtId="0" fontId="0" fillId="0" borderId="80" xfId="0" applyBorder="1" applyAlignment="1">
      <alignment horizontal="center"/>
    </xf>
    <xf numFmtId="9" fontId="0" fillId="0" borderId="80" xfId="1" applyFont="1" applyBorder="1" applyAlignment="1">
      <alignment horizontal="center"/>
    </xf>
    <xf numFmtId="0" fontId="30" fillId="12" borderId="119" xfId="0" applyFont="1" applyFill="1" applyBorder="1" applyAlignment="1">
      <alignment vertical="center" wrapText="1"/>
    </xf>
    <xf numFmtId="0" fontId="28" fillId="13" borderId="120" xfId="0" applyFont="1" applyFill="1" applyBorder="1" applyAlignment="1">
      <alignment horizontal="center" wrapText="1"/>
    </xf>
    <xf numFmtId="8" fontId="30" fillId="12" borderId="120" xfId="0" applyNumberFormat="1" applyFont="1" applyFill="1" applyBorder="1" applyAlignment="1">
      <alignment horizontal="center" vertical="center" wrapText="1"/>
    </xf>
    <xf numFmtId="0" fontId="30" fillId="12" borderId="78" xfId="0" applyFont="1" applyFill="1" applyBorder="1" applyAlignment="1">
      <alignment vertical="center" wrapText="1"/>
    </xf>
    <xf numFmtId="166" fontId="30" fillId="12" borderId="78" xfId="0" applyNumberFormat="1" applyFont="1" applyFill="1" applyBorder="1" applyAlignment="1">
      <alignment horizontal="center" vertical="center" wrapText="1"/>
    </xf>
    <xf numFmtId="10" fontId="30" fillId="12" borderId="78" xfId="0" applyNumberFormat="1" applyFont="1" applyFill="1" applyBorder="1" applyAlignment="1">
      <alignment horizontal="center" vertical="center" wrapText="1"/>
    </xf>
    <xf numFmtId="0" fontId="30" fillId="12" borderId="78" xfId="0" applyFont="1" applyFill="1" applyBorder="1" applyAlignment="1">
      <alignment horizontal="center" vertical="center" wrapText="1"/>
    </xf>
    <xf numFmtId="8" fontId="30" fillId="12" borderId="121" xfId="0" applyNumberFormat="1" applyFont="1" applyFill="1" applyBorder="1" applyAlignment="1">
      <alignment horizontal="center" vertical="center" wrapText="1"/>
    </xf>
    <xf numFmtId="0" fontId="30" fillId="15" borderId="50" xfId="0" applyFont="1" applyFill="1" applyBorder="1" applyAlignment="1">
      <alignment horizontal="center" vertical="center" wrapText="1"/>
    </xf>
    <xf numFmtId="8" fontId="30" fillId="15" borderId="50" xfId="0" applyNumberFormat="1" applyFont="1" applyFill="1" applyBorder="1" applyAlignment="1">
      <alignment horizontal="center" vertical="center" wrapText="1"/>
    </xf>
    <xf numFmtId="166" fontId="30" fillId="12" borderId="97" xfId="0" applyNumberFormat="1" applyFont="1" applyFill="1" applyBorder="1" applyAlignment="1">
      <alignment horizontal="center" vertical="center" wrapText="1"/>
    </xf>
    <xf numFmtId="10" fontId="30" fillId="12" borderId="97" xfId="0" applyNumberFormat="1" applyFont="1" applyFill="1" applyBorder="1" applyAlignment="1">
      <alignment horizontal="center" vertical="center" wrapText="1"/>
    </xf>
    <xf numFmtId="0" fontId="30" fillId="12" borderId="97" xfId="0" applyFont="1" applyFill="1" applyBorder="1" applyAlignment="1">
      <alignment horizontal="center" vertical="center" wrapText="1"/>
    </xf>
    <xf numFmtId="166" fontId="30" fillId="12" borderId="26" xfId="0" applyNumberFormat="1" applyFont="1" applyFill="1" applyBorder="1" applyAlignment="1">
      <alignment horizontal="center" vertical="center" wrapText="1"/>
    </xf>
    <xf numFmtId="8" fontId="30" fillId="12" borderId="115" xfId="0" applyNumberFormat="1" applyFont="1" applyFill="1" applyBorder="1" applyAlignment="1">
      <alignment horizontal="center" vertical="center" wrapText="1"/>
    </xf>
    <xf numFmtId="8" fontId="30" fillId="0" borderId="43" xfId="0" applyNumberFormat="1" applyFont="1" applyBorder="1" applyAlignment="1">
      <alignment horizontal="center" vertical="center"/>
    </xf>
    <xf numFmtId="0" fontId="30" fillId="0" borderId="43" xfId="0" applyFont="1" applyBorder="1" applyAlignment="1">
      <alignment horizontal="center" vertical="center"/>
    </xf>
    <xf numFmtId="0" fontId="4" fillId="0" borderId="4" xfId="0" applyFont="1" applyBorder="1"/>
    <xf numFmtId="0" fontId="4" fillId="0" borderId="6" xfId="0" applyFont="1" applyBorder="1"/>
    <xf numFmtId="10" fontId="0" fillId="0" borderId="0" xfId="1" applyNumberFormat="1" applyFont="1" applyBorder="1" applyAlignment="1" applyProtection="1">
      <alignment horizontal="center"/>
    </xf>
    <xf numFmtId="1" fontId="30" fillId="16" borderId="45" xfId="0" applyNumberFormat="1" applyFont="1" applyFill="1" applyBorder="1" applyAlignment="1">
      <alignment horizontal="center" vertical="center" wrapText="1"/>
    </xf>
    <xf numFmtId="166" fontId="30" fillId="16" borderId="45" xfId="0" applyNumberFormat="1" applyFont="1" applyFill="1" applyBorder="1" applyAlignment="1">
      <alignment horizontal="center" vertical="center" wrapText="1"/>
    </xf>
    <xf numFmtId="1" fontId="30" fillId="16" borderId="43" xfId="0" applyNumberFormat="1" applyFont="1" applyFill="1" applyBorder="1" applyAlignment="1">
      <alignment horizontal="center" vertical="center" wrapText="1"/>
    </xf>
    <xf numFmtId="166" fontId="30" fillId="16" borderId="43" xfId="0" applyNumberFormat="1" applyFont="1" applyFill="1" applyBorder="1" applyAlignment="1">
      <alignment horizontal="center" vertical="center" wrapText="1"/>
    </xf>
    <xf numFmtId="1" fontId="30" fillId="16" borderId="50" xfId="0" applyNumberFormat="1" applyFont="1" applyFill="1" applyBorder="1" applyAlignment="1">
      <alignment horizontal="center" vertical="center" wrapText="1"/>
    </xf>
    <xf numFmtId="166" fontId="30" fillId="16" borderId="50" xfId="0" applyNumberFormat="1" applyFont="1" applyFill="1" applyBorder="1" applyAlignment="1">
      <alignment horizontal="center" vertical="center" wrapText="1"/>
    </xf>
    <xf numFmtId="10" fontId="30" fillId="16" borderId="45" xfId="0" applyNumberFormat="1" applyFont="1" applyFill="1" applyBorder="1" applyAlignment="1">
      <alignment horizontal="center" vertical="center" wrapText="1"/>
    </xf>
    <xf numFmtId="10" fontId="30" fillId="16" borderId="43" xfId="0" applyNumberFormat="1" applyFont="1" applyFill="1" applyBorder="1" applyAlignment="1">
      <alignment horizontal="center" vertical="center" wrapText="1"/>
    </xf>
    <xf numFmtId="10" fontId="30" fillId="16" borderId="50" xfId="0" applyNumberFormat="1" applyFont="1" applyFill="1" applyBorder="1" applyAlignment="1">
      <alignment horizontal="center" vertical="center" wrapText="1"/>
    </xf>
    <xf numFmtId="0" fontId="11" fillId="0" borderId="0" xfId="0" applyFont="1" applyAlignment="1">
      <alignment horizontal="left"/>
    </xf>
    <xf numFmtId="0" fontId="2" fillId="0" borderId="0" xfId="0" applyFont="1" applyAlignment="1">
      <alignment horizontal="left"/>
    </xf>
    <xf numFmtId="9" fontId="0" fillId="0" borderId="0" xfId="1" applyFont="1" applyProtection="1"/>
    <xf numFmtId="10" fontId="0" fillId="16" borderId="43" xfId="1" applyNumberFormat="1" applyFont="1" applyFill="1" applyBorder="1" applyAlignment="1" applyProtection="1">
      <alignment horizontal="center" vertical="center"/>
      <protection locked="0"/>
    </xf>
    <xf numFmtId="10" fontId="0" fillId="0" borderId="0" xfId="0" applyNumberFormat="1" applyAlignment="1">
      <alignment horizontal="center"/>
    </xf>
    <xf numFmtId="10" fontId="0" fillId="2" borderId="12" xfId="0" applyNumberFormat="1" applyFill="1" applyBorder="1" applyAlignment="1">
      <alignment horizontal="center" vertical="center"/>
    </xf>
    <xf numFmtId="166" fontId="0" fillId="2" borderId="12" xfId="0" applyNumberFormat="1" applyFill="1" applyBorder="1" applyAlignment="1">
      <alignment horizontal="center" vertical="center"/>
    </xf>
    <xf numFmtId="9" fontId="0" fillId="0" borderId="0" xfId="0" applyNumberFormat="1"/>
    <xf numFmtId="166" fontId="2" fillId="0" borderId="0" xfId="0" applyNumberFormat="1" applyFont="1" applyAlignment="1">
      <alignment horizontal="center" vertical="center"/>
    </xf>
    <xf numFmtId="1" fontId="7" fillId="3" borderId="20" xfId="0" applyNumberFormat="1" applyFont="1" applyFill="1" applyBorder="1" applyAlignment="1">
      <alignment horizontal="center"/>
    </xf>
    <xf numFmtId="1" fontId="7" fillId="3" borderId="21" xfId="0" applyNumberFormat="1" applyFont="1" applyFill="1" applyBorder="1" applyAlignment="1">
      <alignment horizontal="center"/>
    </xf>
    <xf numFmtId="1" fontId="7" fillId="3" borderId="24" xfId="0" applyNumberFormat="1" applyFont="1" applyFill="1" applyBorder="1" applyAlignment="1">
      <alignment horizontal="center"/>
    </xf>
    <xf numFmtId="2" fontId="7" fillId="3" borderId="0" xfId="0" applyNumberFormat="1" applyFont="1" applyFill="1" applyAlignment="1">
      <alignment horizontal="center" vertical="center"/>
    </xf>
    <xf numFmtId="10" fontId="0" fillId="2" borderId="13" xfId="0" applyNumberFormat="1" applyFill="1" applyBorder="1" applyAlignment="1">
      <alignment horizontal="center" vertical="center"/>
    </xf>
    <xf numFmtId="0" fontId="0" fillId="0" borderId="43" xfId="0" applyBorder="1" applyAlignment="1">
      <alignment horizontal="left"/>
    </xf>
    <xf numFmtId="9" fontId="0" fillId="2" borderId="11" xfId="0" applyNumberFormat="1" applyFill="1" applyBorder="1" applyAlignment="1">
      <alignment horizontal="center" vertical="center"/>
    </xf>
    <xf numFmtId="1" fontId="0" fillId="0" borderId="4" xfId="0" applyNumberFormat="1" applyBorder="1"/>
    <xf numFmtId="166" fontId="0" fillId="0" borderId="4" xfId="0" applyNumberFormat="1" applyBorder="1" applyAlignment="1">
      <alignment horizontal="center" vertical="center"/>
    </xf>
    <xf numFmtId="166" fontId="0" fillId="0" borderId="25" xfId="0" applyNumberFormat="1" applyBorder="1" applyAlignment="1">
      <alignment horizontal="center" vertical="center"/>
    </xf>
    <xf numFmtId="0" fontId="0" fillId="0" borderId="4" xfId="0" applyBorder="1"/>
    <xf numFmtId="0" fontId="11" fillId="0" borderId="43" xfId="0" applyFont="1" applyBorder="1"/>
    <xf numFmtId="1" fontId="0" fillId="0" borderId="21" xfId="0" applyNumberFormat="1" applyBorder="1"/>
    <xf numFmtId="166" fontId="0" fillId="0" borderId="21" xfId="0" applyNumberFormat="1" applyBorder="1" applyAlignment="1">
      <alignment horizontal="center" vertical="center"/>
    </xf>
    <xf numFmtId="166" fontId="0" fillId="0" borderId="28" xfId="0" applyNumberFormat="1" applyBorder="1" applyAlignment="1">
      <alignment horizontal="center" vertical="center"/>
    </xf>
    <xf numFmtId="0" fontId="0" fillId="0" borderId="21" xfId="0" applyBorder="1"/>
    <xf numFmtId="9" fontId="0" fillId="2" borderId="24" xfId="0" applyNumberFormat="1" applyFill="1" applyBorder="1" applyAlignment="1">
      <alignment horizontal="center" vertical="center"/>
    </xf>
    <xf numFmtId="166" fontId="0" fillId="2" borderId="30" xfId="0" applyNumberFormat="1" applyFill="1" applyBorder="1" applyAlignment="1">
      <alignment horizontal="center" vertical="center"/>
    </xf>
    <xf numFmtId="10" fontId="14" fillId="17" borderId="88" xfId="0" applyNumberFormat="1" applyFont="1" applyFill="1" applyBorder="1" applyAlignment="1">
      <alignment horizontal="center" vertical="center"/>
    </xf>
    <xf numFmtId="0" fontId="14" fillId="11" borderId="0" xfId="0" applyFont="1" applyFill="1"/>
    <xf numFmtId="1" fontId="14" fillId="11" borderId="12" xfId="0" applyNumberFormat="1" applyFont="1" applyFill="1" applyBorder="1" applyAlignment="1">
      <alignment horizontal="center"/>
    </xf>
    <xf numFmtId="166" fontId="14" fillId="11" borderId="8" xfId="0" applyNumberFormat="1" applyFont="1" applyFill="1" applyBorder="1" applyAlignment="1">
      <alignment horizontal="center"/>
    </xf>
    <xf numFmtId="0" fontId="15" fillId="11" borderId="43" xfId="0" applyFont="1" applyFill="1" applyBorder="1" applyAlignment="1">
      <alignment horizontal="center" vertical="center"/>
    </xf>
    <xf numFmtId="0" fontId="0" fillId="0" borderId="43" xfId="0" applyBorder="1" applyAlignment="1">
      <alignment horizontal="center" vertical="center"/>
    </xf>
    <xf numFmtId="0" fontId="15" fillId="11" borderId="0" xfId="0" applyFont="1" applyFill="1" applyAlignment="1">
      <alignment horizontal="center" vertical="center"/>
    </xf>
    <xf numFmtId="0" fontId="11" fillId="0" borderId="43" xfId="0" applyFont="1" applyBorder="1" applyAlignment="1">
      <alignment horizontal="center" vertical="center"/>
    </xf>
    <xf numFmtId="10" fontId="0" fillId="0" borderId="43" xfId="0" applyNumberFormat="1" applyBorder="1" applyAlignment="1">
      <alignment horizontal="center" vertical="center"/>
    </xf>
    <xf numFmtId="166" fontId="15" fillId="11" borderId="43" xfId="0" applyNumberFormat="1" applyFont="1" applyFill="1" applyBorder="1" applyAlignment="1">
      <alignment horizontal="center" vertical="center"/>
    </xf>
    <xf numFmtId="10" fontId="14" fillId="11" borderId="0" xfId="0" applyNumberFormat="1" applyFont="1" applyFill="1" applyAlignment="1">
      <alignment horizontal="center"/>
    </xf>
    <xf numFmtId="0" fontId="3" fillId="3" borderId="46" xfId="0" applyFont="1" applyFill="1" applyBorder="1" applyAlignment="1">
      <alignment horizontal="center" wrapText="1"/>
    </xf>
    <xf numFmtId="166" fontId="3" fillId="22" borderId="48" xfId="0" applyNumberFormat="1" applyFont="1" applyFill="1" applyBorder="1" applyAlignment="1">
      <alignment horizontal="center"/>
    </xf>
    <xf numFmtId="166" fontId="8" fillId="20" borderId="89" xfId="0" applyNumberFormat="1" applyFont="1" applyFill="1" applyBorder="1" applyAlignment="1">
      <alignment horizontal="center"/>
    </xf>
    <xf numFmtId="9" fontId="0" fillId="0" borderId="0" xfId="0" applyNumberFormat="1" applyAlignment="1">
      <alignment horizontal="center"/>
    </xf>
    <xf numFmtId="166" fontId="3" fillId="4" borderId="51" xfId="0" applyNumberFormat="1" applyFont="1" applyFill="1" applyBorder="1" applyAlignment="1">
      <alignment horizontal="center"/>
    </xf>
    <xf numFmtId="0" fontId="0" fillId="0" borderId="73" xfId="0" applyBorder="1"/>
    <xf numFmtId="0" fontId="0" fillId="0" borderId="66" xfId="0" applyBorder="1"/>
    <xf numFmtId="8" fontId="5" fillId="0" borderId="0" xfId="0" applyNumberFormat="1" applyFont="1" applyAlignment="1">
      <alignment horizontal="center"/>
    </xf>
    <xf numFmtId="0" fontId="0" fillId="11" borderId="0" xfId="0" applyFill="1" applyAlignment="1">
      <alignment horizontal="center"/>
    </xf>
    <xf numFmtId="0" fontId="11" fillId="11" borderId="0" xfId="0" applyFont="1" applyFill="1" applyAlignment="1">
      <alignment horizontal="center"/>
    </xf>
    <xf numFmtId="10" fontId="0" fillId="11" borderId="92" xfId="0" applyNumberFormat="1" applyFill="1" applyBorder="1" applyAlignment="1">
      <alignment horizontal="center"/>
    </xf>
    <xf numFmtId="0" fontId="3" fillId="3" borderId="54" xfId="0" applyFont="1" applyFill="1" applyBorder="1" applyAlignment="1">
      <alignment horizontal="center"/>
    </xf>
    <xf numFmtId="0" fontId="3" fillId="3" borderId="55" xfId="0" applyFont="1" applyFill="1" applyBorder="1" applyAlignment="1">
      <alignment horizontal="center"/>
    </xf>
    <xf numFmtId="0" fontId="3" fillId="0" borderId="0" xfId="0" applyFont="1" applyAlignment="1">
      <alignment horizontal="center"/>
    </xf>
    <xf numFmtId="1" fontId="0" fillId="0" borderId="57" xfId="0" applyNumberFormat="1" applyBorder="1" applyAlignment="1">
      <alignment horizontal="center"/>
    </xf>
    <xf numFmtId="165" fontId="0" fillId="0" borderId="0" xfId="0" applyNumberFormat="1" applyAlignment="1">
      <alignment horizontal="center"/>
    </xf>
    <xf numFmtId="1" fontId="3" fillId="4" borderId="60" xfId="0" applyNumberFormat="1" applyFont="1" applyFill="1" applyBorder="1" applyAlignment="1">
      <alignment horizontal="center"/>
    </xf>
    <xf numFmtId="1" fontId="3" fillId="4" borderId="61" xfId="0" applyNumberFormat="1" applyFont="1" applyFill="1" applyBorder="1" applyAlignment="1">
      <alignment horizontal="center"/>
    </xf>
    <xf numFmtId="0" fontId="0" fillId="23" borderId="0" xfId="0" applyFill="1" applyAlignment="1">
      <alignment horizontal="center"/>
    </xf>
    <xf numFmtId="165" fontId="3" fillId="0" borderId="0" xfId="0" applyNumberFormat="1" applyFont="1" applyAlignment="1">
      <alignment horizontal="center"/>
    </xf>
    <xf numFmtId="1" fontId="3" fillId="0" borderId="0" xfId="0" applyNumberFormat="1" applyFont="1" applyAlignment="1">
      <alignment horizontal="center"/>
    </xf>
    <xf numFmtId="166" fontId="6" fillId="3" borderId="16" xfId="0" applyNumberFormat="1" applyFont="1" applyFill="1" applyBorder="1" applyAlignment="1">
      <alignment horizontal="center" vertical="center" wrapText="1"/>
    </xf>
    <xf numFmtId="8" fontId="6" fillId="3" borderId="16" xfId="0" applyNumberFormat="1" applyFont="1" applyFill="1" applyBorder="1" applyAlignment="1">
      <alignment horizontal="center"/>
    </xf>
    <xf numFmtId="0" fontId="3" fillId="3" borderId="17" xfId="0" applyFont="1" applyFill="1" applyBorder="1" applyAlignment="1">
      <alignment horizontal="center"/>
    </xf>
    <xf numFmtId="166" fontId="0" fillId="0" borderId="12" xfId="0" applyNumberFormat="1" applyBorder="1" applyAlignment="1">
      <alignment horizontal="center" vertical="center" wrapText="1"/>
    </xf>
    <xf numFmtId="166" fontId="0" fillId="6" borderId="12" xfId="0" applyNumberFormat="1" applyFill="1" applyBorder="1" applyAlignment="1">
      <alignment horizontal="center"/>
    </xf>
    <xf numFmtId="166" fontId="3" fillId="4" borderId="22" xfId="0" applyNumberFormat="1" applyFont="1" applyFill="1" applyBorder="1" applyAlignment="1">
      <alignment horizontal="center"/>
    </xf>
    <xf numFmtId="9" fontId="0" fillId="17" borderId="94" xfId="1" applyFont="1" applyFill="1" applyBorder="1" applyAlignment="1" applyProtection="1">
      <alignment horizontal="center"/>
    </xf>
    <xf numFmtId="166" fontId="0" fillId="0" borderId="18" xfId="0" applyNumberFormat="1" applyBorder="1" applyAlignment="1">
      <alignment horizontal="center" vertical="center" wrapText="1"/>
    </xf>
    <xf numFmtId="166" fontId="0" fillId="6" borderId="18" xfId="0" applyNumberFormat="1" applyFill="1" applyBorder="1" applyAlignment="1">
      <alignment horizontal="center"/>
    </xf>
    <xf numFmtId="166" fontId="3" fillId="4" borderId="19" xfId="0" applyNumberFormat="1" applyFont="1" applyFill="1" applyBorder="1" applyAlignment="1">
      <alignment horizontal="center"/>
    </xf>
    <xf numFmtId="168" fontId="0" fillId="0" borderId="0" xfId="0" applyNumberFormat="1" applyAlignment="1">
      <alignment horizontal="center"/>
    </xf>
    <xf numFmtId="0" fontId="13" fillId="0" borderId="47" xfId="0" applyFont="1" applyBorder="1" applyAlignment="1">
      <alignment horizontal="right"/>
    </xf>
    <xf numFmtId="1" fontId="13" fillId="0" borderId="48" xfId="0" applyNumberFormat="1" applyFont="1" applyBorder="1" applyAlignment="1">
      <alignment horizontal="center"/>
    </xf>
    <xf numFmtId="169" fontId="0" fillId="0" borderId="0" xfId="0" applyNumberFormat="1" applyAlignment="1">
      <alignment horizontal="center"/>
    </xf>
    <xf numFmtId="0" fontId="11" fillId="0" borderId="47" xfId="0" applyFont="1" applyBorder="1" applyAlignment="1">
      <alignment horizontal="right"/>
    </xf>
    <xf numFmtId="1" fontId="0" fillId="0" borderId="48" xfId="0" applyNumberFormat="1" applyBorder="1" applyAlignment="1">
      <alignment horizontal="center"/>
    </xf>
    <xf numFmtId="0" fontId="16" fillId="0" borderId="49" xfId="0" applyFont="1" applyBorder="1" applyAlignment="1">
      <alignment horizontal="right"/>
    </xf>
    <xf numFmtId="2" fontId="16" fillId="0" borderId="51" xfId="0" applyNumberFormat="1" applyFont="1" applyBorder="1" applyAlignment="1">
      <alignment horizontal="center"/>
    </xf>
    <xf numFmtId="0" fontId="16" fillId="0" borderId="47" xfId="0" applyFont="1" applyBorder="1" applyAlignment="1">
      <alignment horizontal="right"/>
    </xf>
    <xf numFmtId="0" fontId="4" fillId="0" borderId="47" xfId="0" applyFont="1" applyBorder="1" applyAlignment="1">
      <alignment horizontal="right"/>
    </xf>
    <xf numFmtId="0" fontId="8" fillId="0" borderId="47" xfId="0" applyFont="1" applyBorder="1" applyAlignment="1">
      <alignment horizontal="right"/>
    </xf>
    <xf numFmtId="1" fontId="16" fillId="0" borderId="48" xfId="0" applyNumberFormat="1" applyFont="1" applyBorder="1" applyAlignment="1">
      <alignment horizontal="center"/>
    </xf>
    <xf numFmtId="2" fontId="13" fillId="0" borderId="48" xfId="0" applyNumberFormat="1" applyFont="1" applyBorder="1" applyAlignment="1">
      <alignment horizontal="center"/>
    </xf>
    <xf numFmtId="1" fontId="0" fillId="16" borderId="92" xfId="0" applyNumberFormat="1" applyFill="1" applyBorder="1" applyAlignment="1" applyProtection="1">
      <alignment horizontal="center"/>
      <protection locked="0"/>
    </xf>
    <xf numFmtId="1" fontId="11" fillId="16" borderId="92" xfId="0" applyNumberFormat="1" applyFont="1" applyFill="1" applyBorder="1" applyAlignment="1" applyProtection="1">
      <alignment horizontal="center"/>
      <protection locked="0"/>
    </xf>
    <xf numFmtId="10" fontId="15" fillId="11" borderId="43" xfId="0" applyNumberFormat="1" applyFont="1" applyFill="1" applyBorder="1" applyAlignment="1">
      <alignment horizontal="center" vertical="center"/>
    </xf>
    <xf numFmtId="0" fontId="13" fillId="0" borderId="0" xfId="0" applyFont="1" applyAlignment="1">
      <alignment horizontal="right"/>
    </xf>
    <xf numFmtId="1" fontId="13" fillId="0" borderId="0" xfId="0" applyNumberFormat="1" applyFont="1" applyAlignment="1">
      <alignment horizontal="center"/>
    </xf>
    <xf numFmtId="166" fontId="0" fillId="0" borderId="43" xfId="0" applyNumberFormat="1" applyBorder="1" applyAlignment="1">
      <alignment horizontal="center"/>
    </xf>
    <xf numFmtId="166" fontId="0" fillId="16" borderId="126" xfId="0" applyNumberFormat="1" applyFill="1" applyBorder="1" applyAlignment="1">
      <alignment horizontal="center"/>
    </xf>
    <xf numFmtId="9" fontId="0" fillId="0" borderId="0" xfId="1" applyFont="1"/>
    <xf numFmtId="9" fontId="0" fillId="0" borderId="0" xfId="1" applyFont="1" applyAlignment="1">
      <alignment horizontal="center"/>
    </xf>
    <xf numFmtId="0" fontId="11" fillId="0" borderId="43" xfId="0" applyFont="1" applyBorder="1" applyAlignment="1">
      <alignment horizontal="center"/>
    </xf>
    <xf numFmtId="10" fontId="0" fillId="0" borderId="51" xfId="0" applyNumberFormat="1" applyBorder="1" applyAlignment="1">
      <alignment horizontal="center"/>
    </xf>
    <xf numFmtId="0" fontId="11" fillId="0" borderId="44" xfId="0" applyFont="1" applyBorder="1" applyAlignment="1">
      <alignment horizontal="center"/>
    </xf>
    <xf numFmtId="166" fontId="0" fillId="0" borderId="46" xfId="0" applyNumberFormat="1" applyBorder="1" applyAlignment="1">
      <alignment horizontal="center"/>
    </xf>
    <xf numFmtId="166" fontId="0" fillId="0" borderId="48" xfId="0" applyNumberFormat="1" applyBorder="1" applyAlignment="1">
      <alignment horizontal="center"/>
    </xf>
    <xf numFmtId="0" fontId="11" fillId="0" borderId="49" xfId="0" applyFont="1" applyBorder="1" applyAlignment="1">
      <alignment horizontal="center"/>
    </xf>
    <xf numFmtId="8" fontId="30" fillId="12" borderId="95" xfId="0" applyNumberFormat="1" applyFont="1" applyFill="1" applyBorder="1" applyAlignment="1">
      <alignment horizontal="center" vertical="center" wrapText="1"/>
    </xf>
    <xf numFmtId="9" fontId="0" fillId="0" borderId="43" xfId="1" applyFont="1" applyFill="1" applyBorder="1" applyAlignment="1">
      <alignment horizontal="center"/>
    </xf>
    <xf numFmtId="0" fontId="30" fillId="12" borderId="42" xfId="0" applyFont="1" applyFill="1" applyBorder="1" applyAlignment="1">
      <alignment horizontal="center" vertical="center" wrapText="1"/>
    </xf>
    <xf numFmtId="8" fontId="30" fillId="12" borderId="44" xfId="0" applyNumberFormat="1" applyFont="1" applyFill="1" applyBorder="1" applyAlignment="1">
      <alignment horizontal="center" vertical="center" wrapText="1"/>
    </xf>
    <xf numFmtId="10" fontId="30" fillId="12" borderId="46" xfId="0" applyNumberFormat="1" applyFont="1" applyFill="1" applyBorder="1" applyAlignment="1">
      <alignment horizontal="center" vertical="center" wrapText="1"/>
    </xf>
    <xf numFmtId="166" fontId="30" fillId="12" borderId="49" xfId="0" applyNumberFormat="1" applyFont="1" applyFill="1" applyBorder="1" applyAlignment="1">
      <alignment horizontal="center" vertical="center" wrapText="1"/>
    </xf>
    <xf numFmtId="10" fontId="30" fillId="12" borderId="51" xfId="0" applyNumberFormat="1" applyFont="1" applyFill="1" applyBorder="1" applyAlignment="1">
      <alignment horizontal="center" vertical="center" wrapText="1"/>
    </xf>
    <xf numFmtId="9" fontId="11" fillId="0" borderId="43" xfId="0" applyNumberFormat="1" applyFont="1" applyBorder="1" applyAlignment="1">
      <alignment horizontal="center"/>
    </xf>
    <xf numFmtId="170" fontId="0" fillId="0" borderId="43" xfId="0" applyNumberFormat="1" applyBorder="1" applyAlignment="1">
      <alignment horizontal="center"/>
    </xf>
    <xf numFmtId="0" fontId="11" fillId="0" borderId="129" xfId="0" applyFont="1" applyBorder="1"/>
    <xf numFmtId="10" fontId="0" fillId="16" borderId="92" xfId="0" applyNumberFormat="1" applyFill="1" applyBorder="1" applyAlignment="1">
      <alignment horizontal="center"/>
    </xf>
    <xf numFmtId="0" fontId="15" fillId="11" borderId="43" xfId="0" applyFont="1" applyFill="1" applyBorder="1" applyAlignment="1">
      <alignment horizontal="center"/>
    </xf>
    <xf numFmtId="0" fontId="4" fillId="25" borderId="47" xfId="0" applyFont="1" applyFill="1" applyBorder="1" applyAlignment="1">
      <alignment horizontal="center"/>
    </xf>
    <xf numFmtId="166" fontId="4" fillId="24" borderId="0" xfId="0" applyNumberFormat="1" applyFont="1" applyFill="1" applyAlignment="1">
      <alignment horizontal="center"/>
    </xf>
    <xf numFmtId="10" fontId="0" fillId="16" borderId="130" xfId="0" applyNumberFormat="1" applyFill="1" applyBorder="1" applyAlignment="1" applyProtection="1">
      <alignment horizontal="center" vertical="center"/>
      <protection locked="0"/>
    </xf>
    <xf numFmtId="0" fontId="0" fillId="0" borderId="131" xfId="0" applyBorder="1" applyAlignment="1">
      <alignment horizontal="center"/>
    </xf>
    <xf numFmtId="0" fontId="0" fillId="16" borderId="48" xfId="0" applyFill="1" applyBorder="1" applyAlignment="1" applyProtection="1">
      <alignment horizontal="center"/>
      <protection locked="0"/>
    </xf>
    <xf numFmtId="166" fontId="0" fillId="16" borderId="48" xfId="0" applyNumberFormat="1" applyFill="1" applyBorder="1" applyAlignment="1" applyProtection="1">
      <alignment horizontal="center"/>
      <protection locked="0"/>
    </xf>
    <xf numFmtId="9" fontId="0" fillId="16" borderId="48" xfId="1" applyFont="1" applyFill="1" applyBorder="1" applyAlignment="1" applyProtection="1">
      <alignment horizontal="center"/>
      <protection locked="0"/>
    </xf>
    <xf numFmtId="0" fontId="0" fillId="0" borderId="77" xfId="0" applyBorder="1"/>
    <xf numFmtId="166" fontId="0" fillId="0" borderId="69" xfId="0" applyNumberFormat="1" applyBorder="1" applyAlignment="1">
      <alignment horizontal="center"/>
    </xf>
    <xf numFmtId="0" fontId="0" fillId="0" borderId="132" xfId="0" applyBorder="1" applyAlignment="1">
      <alignment horizontal="center"/>
    </xf>
    <xf numFmtId="166" fontId="0" fillId="0" borderId="131" xfId="0" applyNumberFormat="1" applyBorder="1" applyAlignment="1">
      <alignment horizontal="center"/>
    </xf>
    <xf numFmtId="2" fontId="0" fillId="0" borderId="131" xfId="0" applyNumberFormat="1" applyBorder="1" applyAlignment="1">
      <alignment horizontal="center"/>
    </xf>
    <xf numFmtId="1" fontId="0" fillId="0" borderId="94" xfId="0" applyNumberFormat="1" applyBorder="1" applyAlignment="1">
      <alignment horizontal="center"/>
    </xf>
    <xf numFmtId="1" fontId="0" fillId="0" borderId="131" xfId="0" applyNumberFormat="1" applyBorder="1" applyAlignment="1">
      <alignment horizontal="center"/>
    </xf>
    <xf numFmtId="0" fontId="0" fillId="26" borderId="43" xfId="0" applyFill="1" applyBorder="1" applyAlignment="1">
      <alignment horizontal="center"/>
    </xf>
    <xf numFmtId="166" fontId="0" fillId="26" borderId="43" xfId="0" applyNumberFormat="1" applyFill="1" applyBorder="1" applyAlignment="1">
      <alignment horizontal="center"/>
    </xf>
    <xf numFmtId="2" fontId="0" fillId="26" borderId="43" xfId="0" applyNumberFormat="1" applyFill="1" applyBorder="1" applyAlignment="1">
      <alignment horizontal="center"/>
    </xf>
    <xf numFmtId="0" fontId="0" fillId="26" borderId="44" xfId="0" applyFill="1" applyBorder="1"/>
    <xf numFmtId="0" fontId="0" fillId="26" borderId="46" xfId="0" applyFill="1" applyBorder="1" applyAlignment="1">
      <alignment horizontal="center"/>
    </xf>
    <xf numFmtId="0" fontId="0" fillId="26" borderId="47" xfId="0" applyFill="1" applyBorder="1"/>
    <xf numFmtId="0" fontId="0" fillId="26" borderId="48" xfId="0" applyFill="1" applyBorder="1" applyAlignment="1">
      <alignment horizontal="center"/>
    </xf>
    <xf numFmtId="166" fontId="0" fillId="26" borderId="48" xfId="0" applyNumberFormat="1" applyFill="1" applyBorder="1" applyAlignment="1">
      <alignment horizontal="center"/>
    </xf>
    <xf numFmtId="2" fontId="0" fillId="26" borderId="48" xfId="0" applyNumberFormat="1" applyFill="1" applyBorder="1" applyAlignment="1">
      <alignment horizontal="center"/>
    </xf>
    <xf numFmtId="0" fontId="0" fillId="26" borderId="49" xfId="0" applyFill="1" applyBorder="1"/>
    <xf numFmtId="1" fontId="0" fillId="26" borderId="50" xfId="0" applyNumberFormat="1" applyFill="1" applyBorder="1" applyAlignment="1">
      <alignment horizontal="center"/>
    </xf>
    <xf numFmtId="1" fontId="0" fillId="26" borderId="51" xfId="0" applyNumberFormat="1" applyFill="1" applyBorder="1" applyAlignment="1">
      <alignment horizontal="center"/>
    </xf>
    <xf numFmtId="0" fontId="11" fillId="16" borderId="43" xfId="0" applyFont="1" applyFill="1" applyBorder="1" applyAlignment="1" applyProtection="1">
      <alignment horizontal="center"/>
      <protection locked="0"/>
    </xf>
    <xf numFmtId="0" fontId="2" fillId="16" borderId="43" xfId="0" applyFont="1" applyFill="1" applyBorder="1" applyAlignment="1" applyProtection="1">
      <alignment horizontal="center" vertical="center"/>
      <protection locked="0"/>
    </xf>
    <xf numFmtId="2" fontId="0" fillId="26" borderId="45" xfId="0" applyNumberFormat="1" applyFill="1" applyBorder="1" applyAlignment="1">
      <alignment horizontal="center"/>
    </xf>
    <xf numFmtId="0" fontId="11" fillId="26" borderId="47" xfId="0" applyFont="1" applyFill="1" applyBorder="1"/>
    <xf numFmtId="0" fontId="2" fillId="0" borderId="133" xfId="0" applyFont="1" applyBorder="1" applyAlignment="1">
      <alignment horizontal="center"/>
    </xf>
    <xf numFmtId="1" fontId="2" fillId="0" borderId="134" xfId="1" applyNumberFormat="1" applyFont="1" applyBorder="1" applyAlignment="1" applyProtection="1">
      <alignment horizontal="center"/>
    </xf>
    <xf numFmtId="169" fontId="0" fillId="2" borderId="12" xfId="0" applyNumberFormat="1" applyFill="1" applyBorder="1" applyAlignment="1" applyProtection="1">
      <alignment horizontal="center" vertical="center"/>
      <protection locked="0"/>
    </xf>
    <xf numFmtId="165" fontId="15" fillId="22" borderId="91" xfId="0" applyNumberFormat="1" applyFont="1" applyFill="1" applyBorder="1" applyAlignment="1" applyProtection="1">
      <alignment horizontal="center"/>
      <protection locked="0"/>
    </xf>
    <xf numFmtId="0" fontId="14" fillId="11" borderId="70" xfId="0" applyFont="1" applyFill="1" applyBorder="1" applyAlignment="1">
      <alignment horizontal="center"/>
    </xf>
    <xf numFmtId="0" fontId="0" fillId="0" borderId="64" xfId="0" applyBorder="1" applyAlignment="1">
      <alignment horizontal="center"/>
    </xf>
    <xf numFmtId="0" fontId="15" fillId="11" borderId="127" xfId="0" applyFont="1" applyFill="1" applyBorder="1" applyAlignment="1">
      <alignment horizontal="center"/>
    </xf>
    <xf numFmtId="0" fontId="0" fillId="0" borderId="128" xfId="0" applyBorder="1"/>
    <xf numFmtId="0" fontId="2" fillId="0" borderId="9" xfId="0" applyFont="1" applyBorder="1" applyAlignment="1">
      <alignment horizontal="center"/>
    </xf>
    <xf numFmtId="0" fontId="0" fillId="0" borderId="11" xfId="0" applyBorder="1" applyAlignment="1">
      <alignment horizontal="center"/>
    </xf>
    <xf numFmtId="0" fontId="12" fillId="0" borderId="14" xfId="0" applyFont="1" applyBorder="1" applyAlignment="1">
      <alignment horizontal="center"/>
    </xf>
    <xf numFmtId="0" fontId="0" fillId="0" borderId="15" xfId="0" applyBorder="1" applyAlignment="1">
      <alignment horizontal="center"/>
    </xf>
    <xf numFmtId="0" fontId="3" fillId="4" borderId="49" xfId="0" applyFont="1" applyFill="1" applyBorder="1" applyAlignment="1">
      <alignment horizontal="center"/>
    </xf>
    <xf numFmtId="0" fontId="0" fillId="0" borderId="50" xfId="0" applyBorder="1"/>
    <xf numFmtId="165" fontId="3" fillId="4" borderId="50" xfId="0" applyNumberFormat="1" applyFont="1" applyFill="1" applyBorder="1" applyAlignment="1">
      <alignment horizontal="center"/>
    </xf>
    <xf numFmtId="0" fontId="3" fillId="3" borderId="52" xfId="0" applyFont="1" applyFill="1" applyBorder="1" applyAlignment="1">
      <alignment horizontal="center"/>
    </xf>
    <xf numFmtId="0" fontId="0" fillId="0" borderId="53" xfId="0" applyBorder="1"/>
    <xf numFmtId="0" fontId="10" fillId="3" borderId="3" xfId="0" applyFont="1" applyFill="1" applyBorder="1" applyAlignment="1">
      <alignment horizontal="center"/>
    </xf>
    <xf numFmtId="0" fontId="0" fillId="0" borderId="5" xfId="0" applyBorder="1" applyAlignment="1">
      <alignment horizontal="center"/>
    </xf>
    <xf numFmtId="0" fontId="0" fillId="0" borderId="56" xfId="0" applyBorder="1" applyAlignment="1">
      <alignment horizontal="center"/>
    </xf>
    <xf numFmtId="0" fontId="0" fillId="0" borderId="11" xfId="0" applyBorder="1"/>
    <xf numFmtId="0" fontId="3" fillId="4" borderId="58" xfId="0" applyFont="1" applyFill="1" applyBorder="1" applyAlignment="1">
      <alignment horizontal="center"/>
    </xf>
    <xf numFmtId="0" fontId="0" fillId="0" borderId="59" xfId="0" applyBorder="1"/>
    <xf numFmtId="164" fontId="32" fillId="4" borderId="108" xfId="0" applyNumberFormat="1" applyFont="1" applyFill="1" applyBorder="1" applyAlignment="1">
      <alignment horizontal="center" vertical="center"/>
    </xf>
    <xf numFmtId="0" fontId="33" fillId="0" borderId="109" xfId="0" applyFont="1" applyBorder="1" applyAlignment="1">
      <alignment horizontal="center" vertical="center"/>
    </xf>
    <xf numFmtId="0" fontId="3" fillId="3" borderId="44" xfId="0" applyFont="1" applyFill="1" applyBorder="1" applyAlignment="1">
      <alignment horizontal="center"/>
    </xf>
    <xf numFmtId="0" fontId="0" fillId="0" borderId="45" xfId="0" applyBorder="1"/>
    <xf numFmtId="0" fontId="3" fillId="3" borderId="45" xfId="0" applyFont="1" applyFill="1" applyBorder="1" applyAlignment="1">
      <alignment horizontal="center"/>
    </xf>
    <xf numFmtId="0" fontId="3" fillId="22" borderId="47" xfId="0" applyFont="1" applyFill="1" applyBorder="1" applyAlignment="1">
      <alignment horizontal="center"/>
    </xf>
    <xf numFmtId="0" fontId="0" fillId="22" borderId="43" xfId="0" applyFill="1" applyBorder="1"/>
    <xf numFmtId="165" fontId="3" fillId="22" borderId="43" xfId="0" applyNumberFormat="1" applyFont="1" applyFill="1" applyBorder="1" applyAlignment="1">
      <alignment horizontal="center"/>
    </xf>
    <xf numFmtId="165" fontId="8" fillId="18" borderId="80" xfId="0" applyNumberFormat="1" applyFont="1" applyFill="1" applyBorder="1" applyAlignment="1">
      <alignment horizontal="center"/>
    </xf>
    <xf numFmtId="0" fontId="4" fillId="19" borderId="81" xfId="0" applyFont="1" applyFill="1" applyBorder="1"/>
    <xf numFmtId="0" fontId="8" fillId="18" borderId="90" xfId="0" applyFont="1" applyFill="1" applyBorder="1" applyAlignment="1">
      <alignment horizontal="center"/>
    </xf>
    <xf numFmtId="10" fontId="11" fillId="0" borderId="0" xfId="0" applyNumberFormat="1" applyFont="1" applyAlignment="1">
      <alignment horizontal="center" vertical="center"/>
    </xf>
    <xf numFmtId="0" fontId="0" fillId="0" borderId="0" xfId="0" applyAlignment="1">
      <alignment horizontal="center" vertical="center"/>
    </xf>
    <xf numFmtId="0" fontId="15" fillId="11" borderId="87" xfId="0" applyFont="1" applyFill="1" applyBorder="1" applyAlignment="1">
      <alignment horizontal="center" vertical="center"/>
    </xf>
    <xf numFmtId="0" fontId="12" fillId="0" borderId="0" xfId="0" applyFont="1" applyAlignment="1">
      <alignment horizontal="center" vertical="center"/>
    </xf>
    <xf numFmtId="0" fontId="0" fillId="0" borderId="0" xfId="0"/>
    <xf numFmtId="0" fontId="15" fillId="11" borderId="80" xfId="0" applyFont="1" applyFill="1" applyBorder="1" applyAlignment="1">
      <alignment horizontal="center" vertical="center"/>
    </xf>
    <xf numFmtId="0" fontId="12" fillId="0" borderId="81" xfId="0" applyFont="1" applyBorder="1" applyAlignment="1">
      <alignment horizontal="center" vertical="center"/>
    </xf>
    <xf numFmtId="0" fontId="2" fillId="0" borderId="2" xfId="0" applyFont="1" applyBorder="1" applyAlignment="1">
      <alignment horizontal="center"/>
    </xf>
    <xf numFmtId="0" fontId="4" fillId="0" borderId="4" xfId="0" applyFont="1" applyBorder="1"/>
    <xf numFmtId="0" fontId="4" fillId="0" borderId="6" xfId="0" applyFont="1" applyBorder="1"/>
    <xf numFmtId="0" fontId="2" fillId="0" borderId="4" xfId="0" applyFont="1" applyBorder="1" applyAlignment="1">
      <alignment horizontal="center"/>
    </xf>
    <xf numFmtId="0" fontId="2" fillId="0" borderId="6" xfId="0" applyFont="1" applyBorder="1" applyAlignment="1">
      <alignment horizontal="center"/>
    </xf>
    <xf numFmtId="0" fontId="15" fillId="8" borderId="73" xfId="0" applyFont="1" applyFill="1" applyBorder="1" applyAlignment="1">
      <alignment horizontal="center" vertical="center"/>
    </xf>
    <xf numFmtId="0" fontId="0" fillId="0" borderId="33" xfId="0" applyBorder="1"/>
    <xf numFmtId="0" fontId="15" fillId="8" borderId="73" xfId="0" applyFont="1" applyFill="1" applyBorder="1" applyAlignment="1">
      <alignment horizontal="center"/>
    </xf>
    <xf numFmtId="0" fontId="15" fillId="8" borderId="79" xfId="0" applyFont="1" applyFill="1" applyBorder="1" applyAlignment="1">
      <alignment horizontal="center" vertical="center"/>
    </xf>
    <xf numFmtId="0" fontId="0" fillId="0" borderId="27" xfId="0" applyBorder="1"/>
    <xf numFmtId="0" fontId="0" fillId="0" borderId="29" xfId="0" applyBorder="1"/>
    <xf numFmtId="0" fontId="30" fillId="12" borderId="49" xfId="0" applyFont="1" applyFill="1" applyBorder="1" applyAlignment="1">
      <alignment vertical="center"/>
    </xf>
    <xf numFmtId="0" fontId="31" fillId="0" borderId="101" xfId="0" applyFont="1" applyBorder="1" applyAlignment="1">
      <alignment vertical="center"/>
    </xf>
    <xf numFmtId="0" fontId="29" fillId="21" borderId="42" xfId="0" applyFont="1" applyFill="1" applyBorder="1" applyAlignment="1">
      <alignment vertical="center" wrapText="1"/>
    </xf>
    <xf numFmtId="0" fontId="29" fillId="21" borderId="41" xfId="0" applyFont="1" applyFill="1" applyBorder="1" applyAlignment="1">
      <alignment vertical="center" wrapText="1"/>
    </xf>
    <xf numFmtId="0" fontId="29" fillId="21" borderId="95" xfId="0" applyFont="1" applyFill="1" applyBorder="1" applyAlignment="1">
      <alignment vertical="center" wrapText="1"/>
    </xf>
    <xf numFmtId="0" fontId="30" fillId="12" borderId="42" xfId="0" applyFont="1" applyFill="1" applyBorder="1" applyAlignment="1">
      <alignment vertical="center" wrapText="1"/>
    </xf>
    <xf numFmtId="0" fontId="30" fillId="12" borderId="41" xfId="0" applyFont="1" applyFill="1" applyBorder="1" applyAlignment="1">
      <alignment vertical="center" wrapText="1"/>
    </xf>
    <xf numFmtId="0" fontId="30" fillId="12" borderId="95" xfId="0" applyFont="1" applyFill="1" applyBorder="1" applyAlignment="1">
      <alignment vertical="center" wrapText="1"/>
    </xf>
    <xf numFmtId="0" fontId="30" fillId="13" borderId="26" xfId="0" applyFont="1" applyFill="1" applyBorder="1" applyAlignment="1">
      <alignment vertical="center" wrapText="1"/>
    </xf>
    <xf numFmtId="0" fontId="30" fillId="13" borderId="29" xfId="0" applyFont="1" applyFill="1" applyBorder="1" applyAlignment="1">
      <alignment vertical="center" wrapText="1"/>
    </xf>
    <xf numFmtId="0" fontId="30" fillId="13" borderId="35" xfId="0" applyFont="1" applyFill="1" applyBorder="1" applyAlignment="1">
      <alignment vertical="center" wrapText="1"/>
    </xf>
    <xf numFmtId="0" fontId="30" fillId="13" borderId="96" xfId="0" applyFont="1" applyFill="1" applyBorder="1" applyAlignment="1">
      <alignment vertical="center" wrapText="1"/>
    </xf>
    <xf numFmtId="0" fontId="28" fillId="13" borderId="97" xfId="0" applyFont="1" applyFill="1" applyBorder="1" applyAlignment="1">
      <alignment horizontal="center" vertical="center" wrapText="1"/>
    </xf>
    <xf numFmtId="0" fontId="28" fillId="13" borderId="98" xfId="0" applyFont="1" applyFill="1" applyBorder="1" applyAlignment="1">
      <alignment horizontal="center" vertical="center" wrapText="1"/>
    </xf>
    <xf numFmtId="0" fontId="29" fillId="14" borderId="102" xfId="0" applyFont="1" applyFill="1" applyBorder="1" applyAlignment="1">
      <alignment horizontal="left" vertical="center" wrapText="1"/>
    </xf>
    <xf numFmtId="0" fontId="29" fillId="14" borderId="103" xfId="0" applyFont="1" applyFill="1" applyBorder="1" applyAlignment="1">
      <alignment horizontal="left" vertical="center" wrapText="1"/>
    </xf>
    <xf numFmtId="0" fontId="0" fillId="0" borderId="104" xfId="0" applyBorder="1" applyAlignment="1">
      <alignment horizontal="left" vertical="center" wrapText="1"/>
    </xf>
    <xf numFmtId="0" fontId="29" fillId="14" borderId="105" xfId="0" applyFont="1" applyFill="1" applyBorder="1" applyAlignment="1">
      <alignment horizontal="left" vertical="center" wrapText="1"/>
    </xf>
    <xf numFmtId="0" fontId="29" fillId="14" borderId="106" xfId="0" applyFont="1" applyFill="1" applyBorder="1" applyAlignment="1">
      <alignment horizontal="left" vertical="center" wrapText="1"/>
    </xf>
    <xf numFmtId="0" fontId="0" fillId="0" borderId="107" xfId="0" applyBorder="1" applyAlignment="1">
      <alignment horizontal="left" vertical="center" wrapText="1"/>
    </xf>
    <xf numFmtId="0" fontId="29" fillId="15" borderId="43" xfId="0" applyFont="1" applyFill="1" applyBorder="1" applyAlignment="1">
      <alignment horizontal="left" vertical="center" wrapText="1"/>
    </xf>
    <xf numFmtId="0" fontId="29" fillId="12" borderId="35" xfId="0" applyFont="1" applyFill="1" applyBorder="1" applyAlignment="1">
      <alignment vertical="center" wrapText="1"/>
    </xf>
    <xf numFmtId="0" fontId="29" fillId="12" borderId="36" xfId="0" applyFont="1" applyFill="1" applyBorder="1" applyAlignment="1">
      <alignment vertical="center" wrapText="1"/>
    </xf>
    <xf numFmtId="0" fontId="29" fillId="12" borderId="96" xfId="0" applyFont="1" applyFill="1" applyBorder="1" applyAlignment="1">
      <alignment vertical="center" wrapText="1"/>
    </xf>
    <xf numFmtId="0" fontId="28" fillId="13" borderId="42" xfId="0" applyFont="1" applyFill="1" applyBorder="1" applyAlignment="1">
      <alignment horizontal="center" wrapText="1"/>
    </xf>
    <xf numFmtId="0" fontId="28" fillId="13" borderId="95" xfId="0" applyFont="1" applyFill="1" applyBorder="1" applyAlignment="1">
      <alignment horizontal="center" wrapText="1"/>
    </xf>
    <xf numFmtId="0" fontId="28" fillId="13" borderId="26" xfId="0" applyFont="1" applyFill="1" applyBorder="1" applyAlignment="1">
      <alignment horizontal="center" wrapText="1"/>
    </xf>
    <xf numFmtId="0" fontId="28" fillId="13" borderId="29" xfId="0" applyFont="1" applyFill="1" applyBorder="1" applyAlignment="1">
      <alignment horizontal="center" wrapText="1"/>
    </xf>
    <xf numFmtId="0" fontId="30" fillId="12" borderId="43" xfId="0" applyFont="1" applyFill="1" applyBorder="1" applyAlignment="1">
      <alignment vertical="center"/>
    </xf>
    <xf numFmtId="0" fontId="31" fillId="0" borderId="43" xfId="0" applyFont="1" applyBorder="1" applyAlignment="1">
      <alignment vertical="center"/>
    </xf>
    <xf numFmtId="0" fontId="30" fillId="12" borderId="44" xfId="0" applyFont="1" applyFill="1" applyBorder="1" applyAlignment="1">
      <alignment vertical="center"/>
    </xf>
    <xf numFmtId="0" fontId="31" fillId="0" borderId="100" xfId="0" applyFont="1" applyBorder="1" applyAlignment="1">
      <alignment vertical="center"/>
    </xf>
    <xf numFmtId="0" fontId="30" fillId="12" borderId="47" xfId="0" applyFont="1" applyFill="1" applyBorder="1" applyAlignment="1">
      <alignment vertical="center"/>
    </xf>
    <xf numFmtId="0" fontId="31" fillId="0" borderId="80" xfId="0" applyFont="1" applyBorder="1" applyAlignment="1">
      <alignment vertical="center"/>
    </xf>
    <xf numFmtId="0" fontId="14" fillId="11" borderId="0" xfId="0" applyFont="1" applyFill="1" applyAlignment="1">
      <alignment horizontal="center"/>
    </xf>
    <xf numFmtId="0" fontId="14" fillId="11" borderId="80" xfId="0" applyFont="1" applyFill="1" applyBorder="1" applyAlignment="1">
      <alignment horizontal="center"/>
    </xf>
    <xf numFmtId="0" fontId="14" fillId="0" borderId="81" xfId="0" applyFont="1" applyBorder="1"/>
    <xf numFmtId="0" fontId="23" fillId="14" borderId="83" xfId="0" applyFont="1" applyFill="1" applyBorder="1" applyAlignment="1">
      <alignment vertical="center"/>
    </xf>
    <xf numFmtId="0" fontId="23" fillId="14" borderId="85" xfId="0" applyFont="1" applyFill="1" applyBorder="1" applyAlignment="1">
      <alignment vertical="center"/>
    </xf>
    <xf numFmtId="0" fontId="23" fillId="14" borderId="84" xfId="0" applyFont="1" applyFill="1" applyBorder="1" applyAlignment="1">
      <alignment vertical="center"/>
    </xf>
    <xf numFmtId="0" fontId="23" fillId="13" borderId="83" xfId="0" applyFont="1" applyFill="1" applyBorder="1" applyAlignment="1">
      <alignment horizontal="left" vertical="center"/>
    </xf>
    <xf numFmtId="0" fontId="23" fillId="13" borderId="84" xfId="0" applyFont="1" applyFill="1" applyBorder="1" applyAlignment="1">
      <alignment horizontal="left" vertical="center"/>
    </xf>
    <xf numFmtId="0" fontId="21" fillId="15" borderId="83" xfId="0" applyFont="1" applyFill="1" applyBorder="1" applyAlignment="1">
      <alignment vertical="center"/>
    </xf>
    <xf numFmtId="0" fontId="0" fillId="0" borderId="84" xfId="0" applyBorder="1" applyAlignment="1">
      <alignment vertical="center"/>
    </xf>
    <xf numFmtId="0" fontId="11" fillId="0" borderId="20" xfId="0" applyFont="1" applyBorder="1" applyAlignment="1">
      <alignment horizontal="left"/>
    </xf>
    <xf numFmtId="0" fontId="0" fillId="0" borderId="21" xfId="0" applyBorder="1" applyAlignment="1">
      <alignment horizontal="left"/>
    </xf>
    <xf numFmtId="0" fontId="0" fillId="0" borderId="24" xfId="0" applyBorder="1" applyAlignment="1">
      <alignment horizontal="left"/>
    </xf>
    <xf numFmtId="0" fontId="23" fillId="13" borderId="83" xfId="0" applyFont="1" applyFill="1" applyBorder="1" applyAlignment="1">
      <alignment horizontal="center" vertical="center"/>
    </xf>
    <xf numFmtId="0" fontId="23" fillId="13" borderId="84" xfId="0" applyFont="1" applyFill="1" applyBorder="1" applyAlignment="1">
      <alignment horizontal="center" vertical="center"/>
    </xf>
    <xf numFmtId="0" fontId="11" fillId="0" borderId="0" xfId="0" applyFont="1"/>
    <xf numFmtId="0" fontId="13" fillId="0" borderId="0" xfId="0" applyFont="1" applyAlignment="1">
      <alignment horizontal="left"/>
    </xf>
    <xf numFmtId="0" fontId="12" fillId="0" borderId="0" xfId="0" applyFont="1"/>
    <xf numFmtId="0" fontId="28" fillId="13" borderId="113" xfId="0" applyFont="1" applyFill="1" applyBorder="1" applyAlignment="1">
      <alignment horizontal="center" wrapText="1"/>
    </xf>
    <xf numFmtId="0" fontId="30" fillId="12" borderId="113" xfId="0" applyFont="1" applyFill="1" applyBorder="1" applyAlignment="1">
      <alignment vertical="center" wrapText="1"/>
    </xf>
    <xf numFmtId="0" fontId="30" fillId="12" borderId="118" xfId="0" applyFont="1" applyFill="1" applyBorder="1" applyAlignment="1">
      <alignment vertical="center" wrapText="1"/>
    </xf>
    <xf numFmtId="0" fontId="30" fillId="12" borderId="104" xfId="0" applyFont="1" applyFill="1" applyBorder="1" applyAlignment="1">
      <alignment vertical="center" wrapText="1"/>
    </xf>
    <xf numFmtId="166" fontId="30" fillId="12" borderId="102" xfId="0" applyNumberFormat="1" applyFont="1" applyFill="1" applyBorder="1" applyAlignment="1">
      <alignment horizontal="center" vertical="center" wrapText="1"/>
    </xf>
    <xf numFmtId="166" fontId="30" fillId="12" borderId="104" xfId="0" applyNumberFormat="1" applyFont="1" applyFill="1" applyBorder="1" applyAlignment="1">
      <alignment horizontal="center" vertical="center" wrapText="1"/>
    </xf>
    <xf numFmtId="0" fontId="0" fillId="0" borderId="125" xfId="0" applyBorder="1" applyAlignment="1">
      <alignment horizontal="center" vertical="center"/>
    </xf>
    <xf numFmtId="0" fontId="29" fillId="15" borderId="49" xfId="0" applyFont="1" applyFill="1" applyBorder="1" applyAlignment="1">
      <alignment horizontal="left" vertical="center" wrapText="1"/>
    </xf>
    <xf numFmtId="0" fontId="29" fillId="15" borderId="50" xfId="0" applyFont="1" applyFill="1" applyBorder="1" applyAlignment="1">
      <alignment horizontal="left" vertical="center" wrapText="1"/>
    </xf>
    <xf numFmtId="0" fontId="29" fillId="12" borderId="116" xfId="0" applyFont="1" applyFill="1" applyBorder="1" applyAlignment="1">
      <alignment vertical="center" wrapText="1"/>
    </xf>
    <xf numFmtId="8" fontId="30" fillId="12" borderId="42" xfId="0" applyNumberFormat="1" applyFont="1" applyFill="1" applyBorder="1" applyAlignment="1">
      <alignment horizontal="center" vertical="center" wrapText="1"/>
    </xf>
    <xf numFmtId="8" fontId="30" fillId="12" borderId="95" xfId="0" applyNumberFormat="1" applyFont="1" applyFill="1" applyBorder="1" applyAlignment="1">
      <alignment horizontal="center" vertical="center" wrapText="1"/>
    </xf>
    <xf numFmtId="0" fontId="29" fillId="14" borderId="124" xfId="0" applyFont="1" applyFill="1" applyBorder="1" applyAlignment="1">
      <alignment horizontal="left" vertical="center" wrapText="1"/>
    </xf>
    <xf numFmtId="0" fontId="29" fillId="14" borderId="122" xfId="0" applyFont="1" applyFill="1" applyBorder="1" applyAlignment="1">
      <alignment horizontal="left" vertical="center" wrapText="1"/>
    </xf>
    <xf numFmtId="0" fontId="0" fillId="0" borderId="123" xfId="0" applyBorder="1" applyAlignment="1">
      <alignment horizontal="left" vertical="center" wrapText="1"/>
    </xf>
    <xf numFmtId="0" fontId="31" fillId="0" borderId="45" xfId="0" applyFont="1" applyBorder="1" applyAlignment="1">
      <alignment vertical="center"/>
    </xf>
    <xf numFmtId="0" fontId="28" fillId="13" borderId="115" xfId="0" applyFont="1" applyFill="1" applyBorder="1" applyAlignment="1">
      <alignment horizontal="center" vertical="center" wrapText="1"/>
    </xf>
    <xf numFmtId="0" fontId="28" fillId="13" borderId="117" xfId="0" applyFont="1" applyFill="1" applyBorder="1" applyAlignment="1">
      <alignment horizontal="center" vertical="center" wrapText="1"/>
    </xf>
    <xf numFmtId="0" fontId="29" fillId="14" borderId="79" xfId="0" applyFont="1" applyFill="1" applyBorder="1" applyAlignment="1">
      <alignment horizontal="left" vertical="center" wrapText="1"/>
    </xf>
    <xf numFmtId="0" fontId="29" fillId="14" borderId="27" xfId="0" applyFont="1" applyFill="1" applyBorder="1" applyAlignment="1">
      <alignment horizontal="left" vertical="center" wrapText="1"/>
    </xf>
    <xf numFmtId="0" fontId="0" fillId="0" borderId="72" xfId="0" applyBorder="1" applyAlignment="1">
      <alignment horizontal="left" vertical="center" wrapText="1"/>
    </xf>
    <xf numFmtId="0" fontId="31" fillId="0" borderId="50" xfId="0" applyFont="1" applyBorder="1" applyAlignment="1">
      <alignment vertical="center"/>
    </xf>
    <xf numFmtId="0" fontId="29" fillId="14" borderId="73" xfId="0" applyFont="1" applyFill="1" applyBorder="1" applyAlignment="1">
      <alignment horizontal="left" vertical="center" wrapText="1"/>
    </xf>
    <xf numFmtId="0" fontId="29" fillId="14" borderId="0" xfId="0" applyFont="1" applyFill="1" applyAlignment="1">
      <alignment horizontal="left" vertical="center" wrapText="1"/>
    </xf>
    <xf numFmtId="0" fontId="0" fillId="0" borderId="66" xfId="0" applyBorder="1" applyAlignment="1">
      <alignment horizontal="left" vertical="center" wrapText="1"/>
    </xf>
    <xf numFmtId="0" fontId="29" fillId="21" borderId="110" xfId="0" applyFont="1" applyFill="1" applyBorder="1" applyAlignment="1">
      <alignment vertical="center" wrapText="1"/>
    </xf>
    <xf numFmtId="0" fontId="29" fillId="21" borderId="111" xfId="0" applyFont="1" applyFill="1" applyBorder="1" applyAlignment="1">
      <alignment vertical="center" wrapText="1"/>
    </xf>
    <xf numFmtId="0" fontId="29" fillId="21" borderId="112" xfId="0" applyFont="1" applyFill="1" applyBorder="1" applyAlignment="1">
      <alignment vertical="center" wrapText="1"/>
    </xf>
    <xf numFmtId="0" fontId="30" fillId="12" borderId="114" xfId="0" applyFont="1" applyFill="1" applyBorder="1" applyAlignment="1">
      <alignment vertical="center" wrapText="1"/>
    </xf>
    <xf numFmtId="0" fontId="30" fillId="13" borderId="79" xfId="0" applyFont="1" applyFill="1" applyBorder="1" applyAlignment="1">
      <alignment vertical="center" wrapText="1"/>
    </xf>
    <xf numFmtId="0" fontId="30" fillId="13" borderId="116" xfId="0" applyFont="1" applyFill="1" applyBorder="1" applyAlignment="1">
      <alignment vertical="center" wrapText="1"/>
    </xf>
    <xf numFmtId="0" fontId="29" fillId="12" borderId="47" xfId="0" applyFont="1" applyFill="1" applyBorder="1" applyAlignment="1">
      <alignment vertical="center"/>
    </xf>
    <xf numFmtId="0" fontId="24" fillId="0" borderId="0" xfId="0" applyFont="1" applyAlignment="1">
      <alignment horizontal="justify" wrapText="1"/>
    </xf>
    <xf numFmtId="0" fontId="0" fillId="0" borderId="0" xfId="0" applyAlignment="1">
      <alignment horizontal="justify" wrapText="1"/>
    </xf>
    <xf numFmtId="0" fontId="27" fillId="0" borderId="0" xfId="0" applyFont="1"/>
    <xf numFmtId="0" fontId="24" fillId="0" borderId="63" xfId="0" applyFont="1" applyBorder="1"/>
    <xf numFmtId="0" fontId="24" fillId="0" borderId="0" xfId="0" applyFont="1" applyAlignment="1">
      <alignment horizontal="justify" vertical="center" wrapText="1"/>
    </xf>
    <xf numFmtId="0" fontId="24" fillId="0" borderId="0" xfId="0" applyFont="1"/>
    <xf numFmtId="0" fontId="26" fillId="0" borderId="50" xfId="0" applyFont="1" applyBorder="1" applyAlignment="1">
      <alignment horizontal="right"/>
    </xf>
  </cellXfs>
  <cellStyles count="4">
    <cellStyle name="Hyperlink" xfId="2" builtinId="8"/>
    <cellStyle name="Normal" xfId="0" builtinId="0"/>
    <cellStyle name="Normal 2" xfId="3" xr:uid="{00000000-0005-0000-0000-000002000000}"/>
    <cellStyle name="Percent" xfId="1" builtinId="5"/>
  </cellStyles>
  <dxfs count="55">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0006"/>
      </font>
      <fill>
        <patternFill>
          <bgColor rgb="FFFFC7CE"/>
        </patternFill>
      </fill>
    </dxf>
    <dxf>
      <font>
        <color rgb="FF9C0006"/>
      </font>
      <fill>
        <patternFill>
          <bgColor rgb="FFFFC7CE"/>
        </patternFill>
      </fill>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006100"/>
      </font>
      <fill>
        <patternFill patternType="solid">
          <fgColor rgb="FFC6EFCE"/>
          <bgColor rgb="FFC6EFCE"/>
        </patternFill>
      </fill>
      <border>
        <left/>
        <right/>
        <top/>
        <bottom/>
      </border>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fmx.cpa.texas.gov/fmx/travel/textravel/rates/current.php" TargetMode="Externa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C296A-2860-4AA3-8822-227D9937D469}">
  <sheetPr>
    <tabColor rgb="FFFFC000"/>
  </sheetPr>
  <dimension ref="A1:F19"/>
  <sheetViews>
    <sheetView zoomScale="190" zoomScaleNormal="190" workbookViewId="0">
      <selection activeCell="C3" sqref="C3"/>
    </sheetView>
  </sheetViews>
  <sheetFormatPr defaultColWidth="0" defaultRowHeight="14.4" zeroHeight="1"/>
  <cols>
    <col min="1" max="1" width="9.109375" customWidth="1"/>
    <col min="2" max="2" width="34.88671875" customWidth="1"/>
    <col min="3" max="3" width="13.6640625" customWidth="1"/>
    <col min="4" max="4" width="11.44140625" customWidth="1"/>
    <col min="5" max="5" width="11.88671875" customWidth="1"/>
    <col min="6" max="6" width="9.109375" customWidth="1"/>
    <col min="7" max="16384" width="9.109375" hidden="1"/>
  </cols>
  <sheetData>
    <row r="1" spans="2:5" ht="15" thickBot="1"/>
    <row r="2" spans="2:5">
      <c r="B2" s="344" t="s">
        <v>249</v>
      </c>
      <c r="C2" s="345"/>
    </row>
    <row r="3" spans="2:5">
      <c r="B3" s="244" t="s">
        <v>223</v>
      </c>
      <c r="C3" s="314"/>
    </row>
    <row r="4" spans="2:5">
      <c r="B4" s="244" t="s">
        <v>224</v>
      </c>
      <c r="C4" s="314"/>
      <c r="D4" s="290"/>
    </row>
    <row r="5" spans="2:5">
      <c r="B5" s="244" t="s">
        <v>225</v>
      </c>
      <c r="C5" s="314"/>
    </row>
    <row r="6" spans="2:5">
      <c r="B6" s="244" t="s">
        <v>226</v>
      </c>
      <c r="C6" s="314"/>
    </row>
    <row r="7" spans="2:5">
      <c r="B7" s="244" t="s">
        <v>227</v>
      </c>
      <c r="C7" s="314"/>
    </row>
    <row r="8" spans="2:5">
      <c r="B8" s="244" t="s">
        <v>228</v>
      </c>
      <c r="C8" s="315"/>
    </row>
    <row r="9" spans="2:5">
      <c r="B9" s="244" t="s">
        <v>229</v>
      </c>
      <c r="C9" s="316"/>
    </row>
    <row r="10" spans="2:5" ht="15" thickBot="1">
      <c r="B10" s="317" t="s">
        <v>230</v>
      </c>
      <c r="C10" s="318">
        <f>C8*(1+C9)</f>
        <v>0</v>
      </c>
    </row>
    <row r="11" spans="2:5" ht="15" thickBot="1">
      <c r="C11" s="37"/>
    </row>
    <row r="12" spans="2:5">
      <c r="B12" s="8" t="s">
        <v>250</v>
      </c>
      <c r="C12" s="319" t="s">
        <v>232</v>
      </c>
      <c r="D12" s="319" t="s">
        <v>194</v>
      </c>
      <c r="E12" s="319" t="s">
        <v>195</v>
      </c>
    </row>
    <row r="13" spans="2:5">
      <c r="B13" s="8" t="s">
        <v>248</v>
      </c>
      <c r="C13" s="313">
        <v>1</v>
      </c>
      <c r="D13" s="313">
        <v>4</v>
      </c>
      <c r="E13" s="313">
        <v>12</v>
      </c>
    </row>
    <row r="14" spans="2:5">
      <c r="B14" t="s">
        <v>231</v>
      </c>
      <c r="C14" s="313">
        <f>C5*C6*C7*C13</f>
        <v>0</v>
      </c>
      <c r="D14" s="313">
        <f>C5*C6*C7*D13</f>
        <v>0</v>
      </c>
      <c r="E14" s="313">
        <f>C5*C6*C7*E13</f>
        <v>0</v>
      </c>
    </row>
    <row r="15" spans="2:5">
      <c r="B15" t="s">
        <v>233</v>
      </c>
      <c r="C15" s="320">
        <f>C14*C10</f>
        <v>0</v>
      </c>
      <c r="D15" s="320">
        <f>C10*D14</f>
        <v>0</v>
      </c>
      <c r="E15" s="320">
        <f>C10*E14</f>
        <v>0</v>
      </c>
    </row>
    <row r="16" spans="2:5">
      <c r="B16" s="8" t="str">
        <f>CONCATENATE("Minimum ",TEXT(Calibration!C41,"0%")," eGrants match")</f>
        <v>Minimum 15% eGrants match</v>
      </c>
      <c r="C16" s="320">
        <f>C15*Calibration!D41</f>
        <v>0</v>
      </c>
      <c r="D16" s="320">
        <f>D15*Calibration!D41</f>
        <v>0</v>
      </c>
      <c r="E16" s="320">
        <f>E15*Calibration!D41</f>
        <v>0</v>
      </c>
    </row>
    <row r="17" spans="2:5" hidden="1">
      <c r="B17" t="s">
        <v>239</v>
      </c>
      <c r="C17" s="321">
        <f>ROUND(C14/40,0)</f>
        <v>0</v>
      </c>
      <c r="D17" s="321">
        <f>ROUND(D14/220,0)</f>
        <v>0</v>
      </c>
      <c r="E17" s="321">
        <f>ROUND(E14/480,0)</f>
        <v>0</v>
      </c>
    </row>
    <row r="18" spans="2:5" ht="15" thickBot="1">
      <c r="B18" t="s">
        <v>240</v>
      </c>
      <c r="C18" s="322">
        <f>IF(C17&lt;2,2,C17)</f>
        <v>2</v>
      </c>
      <c r="D18" s="322">
        <f t="shared" ref="D18:E18" si="0">IF(D17&lt;2,2,D17)</f>
        <v>2</v>
      </c>
      <c r="E18" s="322">
        <f t="shared" si="0"/>
        <v>2</v>
      </c>
    </row>
    <row r="19" spans="2:5"/>
  </sheetData>
  <sheetProtection sheet="1" objects="1" scenarios="1"/>
  <mergeCells count="1">
    <mergeCell ref="B2:C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D1:S49"/>
  <sheetViews>
    <sheetView topLeftCell="C1" zoomScaleNormal="100" workbookViewId="0">
      <selection activeCell="G32" sqref="G32"/>
    </sheetView>
  </sheetViews>
  <sheetFormatPr defaultRowHeight="14.4"/>
  <cols>
    <col min="1" max="2" width="0" hidden="1" customWidth="1"/>
    <col min="7" max="8" width="13.33203125" customWidth="1"/>
    <col min="9" max="9" width="12.5546875" customWidth="1"/>
    <col min="10" max="10" width="14.33203125" customWidth="1"/>
    <col min="11" max="11" width="14.6640625" customWidth="1"/>
    <col min="12" max="12" width="15.33203125" customWidth="1"/>
    <col min="13" max="14" width="18.33203125" customWidth="1"/>
    <col min="15" max="15" width="19" customWidth="1"/>
    <col min="16" max="16" width="19.33203125" customWidth="1"/>
    <col min="17" max="17" width="24.5546875" customWidth="1"/>
    <col min="18" max="18" width="21.88671875" customWidth="1"/>
    <col min="19" max="19" width="22.109375" customWidth="1"/>
  </cols>
  <sheetData>
    <row r="1" spans="4:18" ht="15" thickBot="1"/>
    <row r="2" spans="4:18" ht="15" thickBot="1">
      <c r="F2" s="469" t="str">
        <f>CONCATENATE("Law Enforcement Hours: ",P7)</f>
        <v>Law Enforcement Hours: 0</v>
      </c>
      <c r="G2" s="470"/>
      <c r="H2" s="470"/>
      <c r="I2" s="470"/>
      <c r="J2" s="470"/>
      <c r="K2" s="470"/>
      <c r="L2" s="470"/>
      <c r="M2" s="470"/>
      <c r="N2" s="470"/>
      <c r="O2" s="471"/>
    </row>
    <row r="3" spans="4:18" ht="15" thickBot="1">
      <c r="F3" s="445"/>
      <c r="G3" s="398"/>
      <c r="H3" s="398"/>
      <c r="I3" s="398"/>
      <c r="J3" s="398"/>
      <c r="K3" s="398"/>
      <c r="L3" s="398"/>
      <c r="M3" s="398"/>
      <c r="N3" s="398"/>
      <c r="O3" s="472"/>
    </row>
    <row r="4" spans="4:18">
      <c r="F4" s="473" t="s">
        <v>203</v>
      </c>
      <c r="G4" s="401"/>
      <c r="H4" s="134" t="s">
        <v>12</v>
      </c>
      <c r="I4" s="134" t="s">
        <v>14</v>
      </c>
      <c r="J4" s="134" t="s">
        <v>173</v>
      </c>
      <c r="K4" s="134" t="s">
        <v>175</v>
      </c>
      <c r="L4" s="134" t="s">
        <v>177</v>
      </c>
      <c r="M4" s="135" t="s">
        <v>178</v>
      </c>
      <c r="N4" s="404" t="s">
        <v>130</v>
      </c>
      <c r="O4" s="460" t="s">
        <v>22</v>
      </c>
    </row>
    <row r="5" spans="4:18" ht="15" thickBot="1">
      <c r="D5" s="450" t="s">
        <v>172</v>
      </c>
      <c r="E5" s="450"/>
      <c r="F5" s="474"/>
      <c r="G5" s="403"/>
      <c r="H5" s="136" t="s">
        <v>172</v>
      </c>
      <c r="I5" s="136" t="s">
        <v>172</v>
      </c>
      <c r="J5" s="136" t="s">
        <v>174</v>
      </c>
      <c r="K5" s="136" t="s">
        <v>176</v>
      </c>
      <c r="L5" s="136" t="s">
        <v>176</v>
      </c>
      <c r="M5" s="137" t="s">
        <v>176</v>
      </c>
      <c r="N5" s="405"/>
      <c r="O5" s="461"/>
    </row>
    <row r="6" spans="4:18" ht="15" thickBot="1">
      <c r="D6" s="9" t="s">
        <v>186</v>
      </c>
      <c r="E6" s="170" t="s">
        <v>14</v>
      </c>
      <c r="F6" s="462" t="s">
        <v>180</v>
      </c>
      <c r="G6" s="463"/>
      <c r="H6" s="463"/>
      <c r="I6" s="463"/>
      <c r="J6" s="463"/>
      <c r="K6" s="463"/>
      <c r="L6" s="463"/>
      <c r="M6" s="463"/>
      <c r="N6" s="463"/>
      <c r="O6" s="464"/>
    </row>
    <row r="7" spans="4:18">
      <c r="D7" s="169">
        <f>IF(SUM(I7+H7)&gt;0,SUM(H7:I7)/P7,0)</f>
        <v>0</v>
      </c>
      <c r="E7" s="171">
        <f>IF(I7&gt;0,I7/R7,0)</f>
        <v>0</v>
      </c>
      <c r="F7" s="422" t="s">
        <v>24</v>
      </c>
      <c r="G7" s="459"/>
      <c r="H7" s="192"/>
      <c r="I7" s="192"/>
      <c r="J7" s="193"/>
      <c r="K7" s="140">
        <f>H7*J7</f>
        <v>0</v>
      </c>
      <c r="L7" s="139">
        <f>I7*J7</f>
        <v>0</v>
      </c>
      <c r="M7" s="140">
        <f>SUM(K7:L7)</f>
        <v>0</v>
      </c>
      <c r="N7" s="198"/>
      <c r="O7" s="142">
        <f>M7*N7</f>
        <v>0</v>
      </c>
      <c r="P7" s="40">
        <f>SUM(H7:I9)</f>
        <v>0</v>
      </c>
      <c r="Q7" s="40">
        <f>SUM(H7:I7)</f>
        <v>0</v>
      </c>
      <c r="R7" s="40">
        <f>Q7</f>
        <v>0</v>
      </c>
    </row>
    <row r="8" spans="4:18">
      <c r="D8" s="169">
        <f>IF(SUM(I8+H8)&gt;0,SUM(H8:I8)/P8,0)</f>
        <v>0</v>
      </c>
      <c r="E8" s="171">
        <f t="shared" ref="E8:E9" si="0">IF(I8&gt;0,I8/R8,0)</f>
        <v>0</v>
      </c>
      <c r="F8" s="424" t="s">
        <v>27</v>
      </c>
      <c r="G8" s="421"/>
      <c r="H8" s="194"/>
      <c r="I8" s="194"/>
      <c r="J8" s="195"/>
      <c r="K8" s="145">
        <f t="shared" ref="K8:K9" si="1">H8*J8</f>
        <v>0</v>
      </c>
      <c r="L8" s="144">
        <f t="shared" ref="L8:L9" si="2">I8*J8</f>
        <v>0</v>
      </c>
      <c r="M8" s="145">
        <f t="shared" ref="M8:M9" si="3">SUM(K8:L8)</f>
        <v>0</v>
      </c>
      <c r="N8" s="199"/>
      <c r="O8" s="147">
        <f t="shared" ref="O8:O9" si="4">M8*N8</f>
        <v>0</v>
      </c>
      <c r="P8" s="40">
        <f>P7</f>
        <v>0</v>
      </c>
      <c r="Q8" s="40">
        <f t="shared" ref="Q8:Q9" si="5">SUM(H8:I8)</f>
        <v>0</v>
      </c>
      <c r="R8" s="40">
        <f t="shared" ref="R8:R9" si="6">Q8</f>
        <v>0</v>
      </c>
    </row>
    <row r="9" spans="4:18" ht="15" thickBot="1">
      <c r="D9" s="169">
        <f>IF(SUM(I9+H9)&gt;0,SUM(H9:I9)/P9,0)</f>
        <v>0</v>
      </c>
      <c r="E9" s="171">
        <f t="shared" si="0"/>
        <v>0</v>
      </c>
      <c r="F9" s="392" t="s">
        <v>181</v>
      </c>
      <c r="G9" s="465"/>
      <c r="H9" s="196"/>
      <c r="I9" s="196"/>
      <c r="J9" s="197"/>
      <c r="K9" s="150">
        <f t="shared" si="1"/>
        <v>0</v>
      </c>
      <c r="L9" s="149">
        <f t="shared" si="2"/>
        <v>0</v>
      </c>
      <c r="M9" s="150">
        <f t="shared" si="3"/>
        <v>0</v>
      </c>
      <c r="N9" s="200"/>
      <c r="O9" s="152">
        <f t="shared" si="4"/>
        <v>0</v>
      </c>
      <c r="P9" s="40">
        <f>P8</f>
        <v>0</v>
      </c>
      <c r="Q9" s="40">
        <f t="shared" si="5"/>
        <v>0</v>
      </c>
      <c r="R9" s="40">
        <f t="shared" si="6"/>
        <v>0</v>
      </c>
    </row>
    <row r="10" spans="4:18" ht="15" hidden="1" thickBot="1">
      <c r="D10" s="34"/>
      <c r="E10" s="34"/>
      <c r="F10" s="466" t="s">
        <v>182</v>
      </c>
      <c r="G10" s="467"/>
      <c r="H10" s="467"/>
      <c r="I10" s="467"/>
      <c r="J10" s="467"/>
      <c r="K10" s="467"/>
      <c r="L10" s="467"/>
      <c r="M10" s="467"/>
      <c r="N10" s="467"/>
      <c r="O10" s="468"/>
    </row>
    <row r="11" spans="4:18" hidden="1">
      <c r="D11" s="169">
        <f t="shared" ref="D11" si="7">IF(SUM(I11+H11)&gt;0,SUM(H11:I11)/P11,0)</f>
        <v>0</v>
      </c>
      <c r="E11" s="171">
        <f>IF(I11&gt;0,I11/R11,0)</f>
        <v>0</v>
      </c>
      <c r="F11" s="475" t="s">
        <v>184</v>
      </c>
      <c r="G11" s="421"/>
      <c r="H11" s="192"/>
      <c r="I11" s="192"/>
      <c r="J11" s="193"/>
      <c r="K11" s="140">
        <f>H11*J11</f>
        <v>0</v>
      </c>
      <c r="L11" s="139">
        <f>I11*J11</f>
        <v>0</v>
      </c>
      <c r="M11" s="140">
        <f>SUM(K11:L11)</f>
        <v>0</v>
      </c>
      <c r="N11" s="198"/>
      <c r="O11" s="142">
        <f>M11*N11</f>
        <v>0</v>
      </c>
      <c r="P11" s="40">
        <f>SUM(H11:I11)</f>
        <v>0</v>
      </c>
      <c r="Q11" s="40">
        <f>P11</f>
        <v>0</v>
      </c>
      <c r="R11" s="40">
        <f>Q11</f>
        <v>0</v>
      </c>
    </row>
    <row r="12" spans="4:18" ht="15" thickBot="1">
      <c r="D12" s="34"/>
      <c r="E12" s="34"/>
      <c r="F12" s="456" t="s">
        <v>183</v>
      </c>
      <c r="G12" s="457"/>
      <c r="H12" s="457"/>
      <c r="I12" s="457"/>
      <c r="J12" s="457"/>
      <c r="K12" s="457"/>
      <c r="L12" s="457"/>
      <c r="M12" s="457"/>
      <c r="N12" s="457"/>
      <c r="O12" s="458"/>
    </row>
    <row r="13" spans="4:18">
      <c r="D13" s="169">
        <f t="shared" ref="D13:D18" si="8">IF(SUM(I13+H13)&gt;0,SUM(H13:I13)/P13,0)</f>
        <v>0</v>
      </c>
      <c r="E13" s="171">
        <f>IF(I13&gt;0,I13/R13,0)</f>
        <v>0</v>
      </c>
      <c r="F13" s="422"/>
      <c r="G13" s="459"/>
      <c r="H13" s="192"/>
      <c r="I13" s="192"/>
      <c r="J13" s="193"/>
      <c r="K13" s="140">
        <f>H13*J13</f>
        <v>0</v>
      </c>
      <c r="L13" s="139">
        <f>I13*J13</f>
        <v>0</v>
      </c>
      <c r="M13" s="140">
        <f>SUM(K13:L13)</f>
        <v>0</v>
      </c>
      <c r="N13" s="199"/>
      <c r="O13" s="142">
        <f>M13*N13</f>
        <v>0</v>
      </c>
      <c r="P13" s="40">
        <f>SUM(H13:I18)</f>
        <v>0</v>
      </c>
      <c r="Q13" s="40">
        <f>SUM(H13:I13)</f>
        <v>0</v>
      </c>
      <c r="R13" s="40">
        <f>Q13</f>
        <v>0</v>
      </c>
    </row>
    <row r="14" spans="4:18">
      <c r="D14" s="169">
        <f t="shared" si="8"/>
        <v>0</v>
      </c>
      <c r="E14" s="171">
        <f t="shared" ref="E14:E15" si="9">IF(I14&gt;0,I14/R14,0)</f>
        <v>0</v>
      </c>
      <c r="F14" s="424"/>
      <c r="G14" s="421"/>
      <c r="H14" s="194"/>
      <c r="I14" s="194"/>
      <c r="J14" s="195"/>
      <c r="K14" s="145">
        <f t="shared" ref="K14:K18" si="10">H14*J14</f>
        <v>0</v>
      </c>
      <c r="L14" s="144">
        <f t="shared" ref="L14:L18" si="11">I14*J14</f>
        <v>0</v>
      </c>
      <c r="M14" s="145">
        <f t="shared" ref="M14:M18" si="12">SUM(K14:L14)</f>
        <v>0</v>
      </c>
      <c r="N14" s="199"/>
      <c r="O14" s="147">
        <f t="shared" ref="O14:O18" si="13">M14*N14</f>
        <v>0</v>
      </c>
      <c r="P14" s="40">
        <f>P13</f>
        <v>0</v>
      </c>
      <c r="Q14" s="40">
        <f t="shared" ref="Q14:Q15" si="14">SUM(H14:I14)</f>
        <v>0</v>
      </c>
      <c r="R14" s="40">
        <f t="shared" ref="R14:R18" si="15">Q14</f>
        <v>0</v>
      </c>
    </row>
    <row r="15" spans="4:18">
      <c r="D15" s="169">
        <f t="shared" si="8"/>
        <v>0</v>
      </c>
      <c r="E15" s="171">
        <f t="shared" si="9"/>
        <v>0</v>
      </c>
      <c r="F15" s="424"/>
      <c r="G15" s="421"/>
      <c r="H15" s="194"/>
      <c r="I15" s="194"/>
      <c r="J15" s="195"/>
      <c r="K15" s="145">
        <f t="shared" si="10"/>
        <v>0</v>
      </c>
      <c r="L15" s="144">
        <f t="shared" si="11"/>
        <v>0</v>
      </c>
      <c r="M15" s="145">
        <f t="shared" si="12"/>
        <v>0</v>
      </c>
      <c r="N15" s="199"/>
      <c r="O15" s="147">
        <f t="shared" si="13"/>
        <v>0</v>
      </c>
      <c r="P15" s="40">
        <f t="shared" ref="P15:P18" si="16">P14</f>
        <v>0</v>
      </c>
      <c r="Q15" s="40">
        <f t="shared" si="14"/>
        <v>0</v>
      </c>
      <c r="R15" s="40">
        <f t="shared" si="15"/>
        <v>0</v>
      </c>
    </row>
    <row r="16" spans="4:18">
      <c r="D16" s="169">
        <f t="shared" si="8"/>
        <v>0</v>
      </c>
      <c r="E16" s="171">
        <f>IF(I16&gt;0,I16/R16,0)</f>
        <v>0</v>
      </c>
      <c r="F16" s="424"/>
      <c r="G16" s="421"/>
      <c r="H16" s="194"/>
      <c r="I16" s="194"/>
      <c r="J16" s="195"/>
      <c r="K16" s="145">
        <f t="shared" si="10"/>
        <v>0</v>
      </c>
      <c r="L16" s="144">
        <f t="shared" si="11"/>
        <v>0</v>
      </c>
      <c r="M16" s="145">
        <f t="shared" si="12"/>
        <v>0</v>
      </c>
      <c r="N16" s="199"/>
      <c r="O16" s="147">
        <f t="shared" si="13"/>
        <v>0</v>
      </c>
      <c r="P16" s="40">
        <f t="shared" si="16"/>
        <v>0</v>
      </c>
      <c r="Q16" s="40">
        <f>SUM(H16:I16)</f>
        <v>0</v>
      </c>
      <c r="R16" s="40">
        <f>Q16</f>
        <v>0</v>
      </c>
    </row>
    <row r="17" spans="4:19">
      <c r="D17" s="169">
        <f t="shared" si="8"/>
        <v>0</v>
      </c>
      <c r="E17" s="171">
        <f t="shared" ref="E17:E18" si="17">IF(I17&gt;0,I17/R17,0)</f>
        <v>0</v>
      </c>
      <c r="F17" s="424"/>
      <c r="G17" s="421"/>
      <c r="H17" s="194"/>
      <c r="I17" s="194"/>
      <c r="J17" s="195"/>
      <c r="K17" s="145">
        <f t="shared" si="10"/>
        <v>0</v>
      </c>
      <c r="L17" s="144">
        <f t="shared" si="11"/>
        <v>0</v>
      </c>
      <c r="M17" s="145">
        <f t="shared" si="12"/>
        <v>0</v>
      </c>
      <c r="N17" s="199"/>
      <c r="O17" s="147">
        <f t="shared" si="13"/>
        <v>0</v>
      </c>
      <c r="P17" s="40">
        <f t="shared" si="16"/>
        <v>0</v>
      </c>
      <c r="Q17" s="40">
        <f t="shared" ref="Q17:Q18" si="18">SUM(H17:I17)</f>
        <v>0</v>
      </c>
      <c r="R17" s="40">
        <f t="shared" si="15"/>
        <v>0</v>
      </c>
    </row>
    <row r="18" spans="4:19">
      <c r="D18" s="169">
        <f t="shared" si="8"/>
        <v>0</v>
      </c>
      <c r="E18" s="171">
        <f t="shared" si="17"/>
        <v>0</v>
      </c>
      <c r="F18" s="424"/>
      <c r="G18" s="421"/>
      <c r="H18" s="194"/>
      <c r="I18" s="194"/>
      <c r="J18" s="195"/>
      <c r="K18" s="145">
        <f t="shared" si="10"/>
        <v>0</v>
      </c>
      <c r="L18" s="144">
        <f t="shared" si="11"/>
        <v>0</v>
      </c>
      <c r="M18" s="145">
        <f t="shared" si="12"/>
        <v>0</v>
      </c>
      <c r="N18" s="199"/>
      <c r="O18" s="147">
        <f t="shared" si="13"/>
        <v>0</v>
      </c>
      <c r="P18" s="40">
        <f t="shared" si="16"/>
        <v>0</v>
      </c>
      <c r="Q18" s="40">
        <f t="shared" si="18"/>
        <v>0</v>
      </c>
      <c r="R18" s="40">
        <f t="shared" si="15"/>
        <v>0</v>
      </c>
    </row>
    <row r="19" spans="4:19" ht="15" thickBot="1">
      <c r="F19" s="451"/>
      <c r="G19" s="452"/>
      <c r="H19" s="180"/>
      <c r="I19" s="180"/>
      <c r="J19" s="180"/>
      <c r="K19" s="181">
        <f>SUM(K7:K18)</f>
        <v>0</v>
      </c>
      <c r="L19" s="181">
        <f>SUM(L7:L18)</f>
        <v>0</v>
      </c>
      <c r="M19" s="181">
        <f>SUM(M7:M18)</f>
        <v>0</v>
      </c>
      <c r="N19" s="180"/>
      <c r="O19" s="152">
        <f>SUM(O7:O18)</f>
        <v>0</v>
      </c>
    </row>
    <row r="20" spans="4:19" ht="15" thickBot="1">
      <c r="F20" s="453"/>
      <c r="G20" s="414"/>
      <c r="H20" s="414"/>
      <c r="I20" s="414"/>
      <c r="J20" s="414"/>
      <c r="K20" s="414"/>
      <c r="L20" s="414"/>
      <c r="M20" s="415"/>
      <c r="N20" s="157"/>
      <c r="O20" s="172"/>
    </row>
    <row r="21" spans="4:19" ht="15" thickBot="1">
      <c r="F21" s="444" t="s">
        <v>0</v>
      </c>
      <c r="G21" s="417"/>
      <c r="H21" s="160"/>
      <c r="I21" s="161" t="s">
        <v>12</v>
      </c>
      <c r="J21" s="161" t="s">
        <v>179</v>
      </c>
      <c r="K21" s="160"/>
      <c r="L21" s="416" t="s">
        <v>14</v>
      </c>
      <c r="M21" s="417"/>
      <c r="N21" s="162" t="s">
        <v>179</v>
      </c>
      <c r="O21" s="173" t="s">
        <v>15</v>
      </c>
    </row>
    <row r="22" spans="4:19" ht="15" thickBot="1">
      <c r="F22" s="445" t="s">
        <v>18</v>
      </c>
      <c r="G22" s="399"/>
      <c r="H22" s="160"/>
      <c r="I22" s="163">
        <f>K19</f>
        <v>0</v>
      </c>
      <c r="J22" s="164" t="e">
        <f>I22/M19</f>
        <v>#DIV/0!</v>
      </c>
      <c r="K22" s="165"/>
      <c r="L22" s="454">
        <f>L19</f>
        <v>0</v>
      </c>
      <c r="M22" s="455"/>
      <c r="N22" s="164" t="e">
        <f>L22/M19</f>
        <v>#DIV/0!</v>
      </c>
      <c r="O22" s="174">
        <f>SUM(I22+L22)</f>
        <v>0</v>
      </c>
    </row>
    <row r="23" spans="4:19" ht="15" thickBot="1">
      <c r="F23" s="446" t="s">
        <v>87</v>
      </c>
      <c r="G23" s="447"/>
      <c r="H23" s="175"/>
      <c r="I23" s="176"/>
      <c r="J23" s="177"/>
      <c r="K23" s="178"/>
      <c r="L23" s="448"/>
      <c r="M23" s="449"/>
      <c r="N23" s="177"/>
      <c r="O23" s="179">
        <f>SUM(I23+L23)</f>
        <v>0</v>
      </c>
    </row>
    <row r="27" spans="4:19">
      <c r="D27" s="374" t="s">
        <v>142</v>
      </c>
      <c r="E27" s="375"/>
      <c r="G27" s="84"/>
      <c r="H27" s="85"/>
      <c r="I27" s="86"/>
      <c r="J27" s="127" t="s">
        <v>3</v>
      </c>
      <c r="K27" s="189"/>
      <c r="L27" s="190"/>
      <c r="M27" s="381" t="s">
        <v>5</v>
      </c>
      <c r="N27" s="382"/>
      <c r="O27" s="383"/>
      <c r="P27" s="381" t="s">
        <v>6</v>
      </c>
      <c r="Q27" s="382"/>
      <c r="R27" s="383"/>
      <c r="S27" s="34" t="s">
        <v>7</v>
      </c>
    </row>
    <row r="28" spans="4:19">
      <c r="D28" s="89" t="s">
        <v>141</v>
      </c>
      <c r="E28" s="89" t="s">
        <v>45</v>
      </c>
      <c r="F28" s="87" t="s">
        <v>8</v>
      </c>
      <c r="G28" s="80" t="s">
        <v>171</v>
      </c>
      <c r="H28" s="88" t="s">
        <v>10</v>
      </c>
      <c r="I28" s="89" t="s">
        <v>11</v>
      </c>
      <c r="J28" s="90" t="s">
        <v>12</v>
      </c>
      <c r="K28" s="33" t="s">
        <v>14</v>
      </c>
      <c r="L28" s="91" t="s">
        <v>15</v>
      </c>
      <c r="M28" s="90" t="s">
        <v>16</v>
      </c>
      <c r="N28" s="33" t="s">
        <v>14</v>
      </c>
      <c r="O28" s="91" t="s">
        <v>15</v>
      </c>
      <c r="P28" s="90" t="s">
        <v>12</v>
      </c>
      <c r="Q28" s="33" t="s">
        <v>14</v>
      </c>
      <c r="R28" s="91" t="s">
        <v>15</v>
      </c>
      <c r="S28" s="33" t="s">
        <v>17</v>
      </c>
    </row>
    <row r="29" spans="4:19">
      <c r="D29" s="83">
        <f t="shared" ref="D29:D31" si="19">E7</f>
        <v>0</v>
      </c>
      <c r="E29" s="83">
        <v>1</v>
      </c>
      <c r="F29" s="202" t="s">
        <v>24</v>
      </c>
      <c r="G29" s="81">
        <f t="shared" ref="G29:G31" si="20">D7</f>
        <v>0</v>
      </c>
      <c r="H29" s="82">
        <f t="shared" ref="H29:H31" si="21">J7</f>
        <v>0</v>
      </c>
      <c r="I29" s="83">
        <f t="shared" ref="I29:I31" si="22">N7</f>
        <v>0</v>
      </c>
      <c r="J29" s="38">
        <f t="shared" ref="J29:K31" si="23">H7</f>
        <v>0</v>
      </c>
      <c r="K29" s="38">
        <f t="shared" si="23"/>
        <v>0</v>
      </c>
      <c r="L29" s="92">
        <f>SUM(J29:K29)</f>
        <v>0</v>
      </c>
      <c r="M29" s="39">
        <f t="shared" ref="M29:M31" si="24">O29-N29</f>
        <v>0</v>
      </c>
      <c r="N29" s="39">
        <f t="shared" ref="N29:N31" si="25">O29*D29</f>
        <v>0</v>
      </c>
      <c r="O29" s="93">
        <f t="shared" ref="O29:O31" si="26">L29*H29</f>
        <v>0</v>
      </c>
      <c r="P29" s="39">
        <f t="shared" ref="P29:P31" si="27">R29-Q29</f>
        <v>0</v>
      </c>
      <c r="Q29" s="39">
        <f>R29*E29</f>
        <v>0</v>
      </c>
      <c r="R29" s="93">
        <f t="shared" ref="R29:R31" si="28">O29*I29</f>
        <v>0</v>
      </c>
      <c r="S29" s="39">
        <f t="shared" ref="S29" si="29">SUM(O29+R29)</f>
        <v>0</v>
      </c>
    </row>
    <row r="30" spans="4:19">
      <c r="D30" s="83">
        <f t="shared" si="19"/>
        <v>0</v>
      </c>
      <c r="E30" s="83">
        <v>1</v>
      </c>
      <c r="F30" s="201" t="s">
        <v>27</v>
      </c>
      <c r="G30" s="81">
        <f t="shared" si="20"/>
        <v>0</v>
      </c>
      <c r="H30" s="82">
        <f t="shared" si="21"/>
        <v>0</v>
      </c>
      <c r="I30" s="83">
        <f t="shared" si="22"/>
        <v>0</v>
      </c>
      <c r="J30" s="38">
        <f t="shared" si="23"/>
        <v>0</v>
      </c>
      <c r="K30" s="38">
        <f t="shared" si="23"/>
        <v>0</v>
      </c>
      <c r="L30" s="92">
        <f t="shared" ref="L30:L31" si="30">SUM(J30:K30)</f>
        <v>0</v>
      </c>
      <c r="M30" s="39">
        <f t="shared" si="24"/>
        <v>0</v>
      </c>
      <c r="N30" s="39">
        <f t="shared" si="25"/>
        <v>0</v>
      </c>
      <c r="O30" s="93">
        <f t="shared" si="26"/>
        <v>0</v>
      </c>
      <c r="P30" s="39">
        <f t="shared" si="27"/>
        <v>0</v>
      </c>
      <c r="Q30" s="39">
        <f t="shared" ref="Q30:Q31" si="31">R30*E30</f>
        <v>0</v>
      </c>
      <c r="R30" s="93">
        <f t="shared" si="28"/>
        <v>0</v>
      </c>
      <c r="S30" s="39">
        <f t="shared" ref="S30:S31" si="32">SUM(O30+R30)</f>
        <v>0</v>
      </c>
    </row>
    <row r="31" spans="4:19">
      <c r="D31" s="83">
        <f t="shared" si="19"/>
        <v>0</v>
      </c>
      <c r="E31" s="83">
        <v>1</v>
      </c>
      <c r="F31" s="201" t="s">
        <v>181</v>
      </c>
      <c r="G31" s="81">
        <f t="shared" si="20"/>
        <v>0</v>
      </c>
      <c r="H31" s="82">
        <f t="shared" si="21"/>
        <v>0</v>
      </c>
      <c r="I31" s="83">
        <f t="shared" si="22"/>
        <v>0</v>
      </c>
      <c r="J31" s="38">
        <f t="shared" si="23"/>
        <v>0</v>
      </c>
      <c r="K31" s="38">
        <f t="shared" si="23"/>
        <v>0</v>
      </c>
      <c r="L31" s="92">
        <f t="shared" si="30"/>
        <v>0</v>
      </c>
      <c r="M31" s="39">
        <f t="shared" si="24"/>
        <v>0</v>
      </c>
      <c r="N31" s="39">
        <f t="shared" si="25"/>
        <v>0</v>
      </c>
      <c r="O31" s="93">
        <f t="shared" si="26"/>
        <v>0</v>
      </c>
      <c r="P31" s="39">
        <f t="shared" si="27"/>
        <v>0</v>
      </c>
      <c r="Q31" s="39">
        <f t="shared" si="31"/>
        <v>0</v>
      </c>
      <c r="R31" s="93">
        <f t="shared" si="28"/>
        <v>0</v>
      </c>
      <c r="S31" s="39">
        <f t="shared" si="32"/>
        <v>0</v>
      </c>
    </row>
    <row r="32" spans="4:19">
      <c r="D32" s="116"/>
      <c r="E32" s="116"/>
      <c r="F32" s="96" t="s">
        <v>33</v>
      </c>
      <c r="G32" s="97">
        <f>SUM(G29:G31)</f>
        <v>0</v>
      </c>
      <c r="H32" s="98" t="e">
        <f>AK32/G32</f>
        <v>#DIV/0!</v>
      </c>
      <c r="I32" s="99" t="e">
        <f>AP32/G32</f>
        <v>#DIV/0!</v>
      </c>
      <c r="J32" s="100">
        <f t="shared" ref="J32:S32" si="33">SUM(J29:J31)</f>
        <v>0</v>
      </c>
      <c r="K32" s="101">
        <f t="shared" si="33"/>
        <v>0</v>
      </c>
      <c r="L32" s="102">
        <f t="shared" si="33"/>
        <v>0</v>
      </c>
      <c r="M32" s="103">
        <f t="shared" si="33"/>
        <v>0</v>
      </c>
      <c r="N32" s="103">
        <f t="shared" si="33"/>
        <v>0</v>
      </c>
      <c r="O32" s="103">
        <f t="shared" si="33"/>
        <v>0</v>
      </c>
      <c r="P32" s="103">
        <f t="shared" si="33"/>
        <v>0</v>
      </c>
      <c r="Q32" s="103">
        <f t="shared" si="33"/>
        <v>0</v>
      </c>
      <c r="R32" s="103">
        <f t="shared" si="33"/>
        <v>0</v>
      </c>
      <c r="S32" s="103">
        <f t="shared" si="33"/>
        <v>0</v>
      </c>
    </row>
    <row r="33" spans="4:19">
      <c r="D33" s="86"/>
      <c r="E33" s="86"/>
      <c r="G33" s="84"/>
      <c r="H33" s="85"/>
      <c r="I33" s="86"/>
      <c r="Q33" s="34"/>
      <c r="R33" s="34"/>
      <c r="S33" s="34"/>
    </row>
    <row r="34" spans="4:19">
      <c r="D34" s="374" t="s">
        <v>161</v>
      </c>
      <c r="E34" s="375"/>
      <c r="G34" s="84"/>
      <c r="H34" s="85"/>
      <c r="I34" s="86"/>
      <c r="J34" s="127" t="s">
        <v>41</v>
      </c>
      <c r="K34" s="189"/>
      <c r="L34" s="190"/>
      <c r="M34" s="381" t="s">
        <v>42</v>
      </c>
      <c r="N34" s="382"/>
      <c r="O34" s="383"/>
      <c r="P34" s="381" t="s">
        <v>43</v>
      </c>
      <c r="Q34" s="382"/>
      <c r="R34" s="383"/>
      <c r="S34" s="35" t="s">
        <v>143</v>
      </c>
    </row>
    <row r="35" spans="4:19">
      <c r="D35" s="89" t="s">
        <v>141</v>
      </c>
      <c r="E35" s="89" t="s">
        <v>45</v>
      </c>
      <c r="F35" s="87" t="s">
        <v>46</v>
      </c>
      <c r="G35" s="80" t="s">
        <v>171</v>
      </c>
      <c r="H35" s="88" t="s">
        <v>10</v>
      </c>
      <c r="I35" s="89" t="s">
        <v>11</v>
      </c>
      <c r="J35" s="90" t="s">
        <v>12</v>
      </c>
      <c r="K35" s="33" t="s">
        <v>14</v>
      </c>
      <c r="L35" s="33" t="s">
        <v>15</v>
      </c>
      <c r="M35" s="90" t="s">
        <v>16</v>
      </c>
      <c r="N35" s="33" t="s">
        <v>14</v>
      </c>
      <c r="O35" s="33" t="s">
        <v>15</v>
      </c>
      <c r="P35" s="90" t="s">
        <v>12</v>
      </c>
      <c r="Q35" s="33" t="s">
        <v>14</v>
      </c>
      <c r="R35" s="91" t="s">
        <v>15</v>
      </c>
      <c r="S35" s="33" t="s">
        <v>17</v>
      </c>
    </row>
    <row r="36" spans="4:19">
      <c r="D36" s="83">
        <f t="shared" ref="D36:D41" si="34">E13</f>
        <v>0</v>
      </c>
      <c r="E36" s="121">
        <v>1</v>
      </c>
      <c r="F36" s="201">
        <f t="shared" ref="F36:F41" si="35">F13</f>
        <v>0</v>
      </c>
      <c r="G36" s="81">
        <f t="shared" ref="G36:G41" si="36">D13</f>
        <v>0</v>
      </c>
      <c r="H36" s="82">
        <f t="shared" ref="H36:H41" si="37">J13</f>
        <v>0</v>
      </c>
      <c r="I36" s="83">
        <f t="shared" ref="I36:I41" si="38">N13</f>
        <v>0</v>
      </c>
      <c r="J36" s="38">
        <f t="shared" ref="J36:K41" si="39">H13</f>
        <v>0</v>
      </c>
      <c r="K36" s="38">
        <f t="shared" si="39"/>
        <v>0</v>
      </c>
      <c r="L36" s="92">
        <f>SUM(J36:K36)</f>
        <v>0</v>
      </c>
      <c r="M36" s="39">
        <f t="shared" ref="M36:M41" si="40">O36-N36</f>
        <v>0</v>
      </c>
      <c r="N36" s="39">
        <f t="shared" ref="N36:N41" si="41">O36*D36</f>
        <v>0</v>
      </c>
      <c r="O36" s="93">
        <f t="shared" ref="O36:O41" si="42">L36*H36</f>
        <v>0</v>
      </c>
      <c r="P36" s="39">
        <f t="shared" ref="P36:P41" si="43">R36-Q36</f>
        <v>0</v>
      </c>
      <c r="Q36" s="39">
        <f t="shared" ref="Q36:Q41" si="44">R36*E36</f>
        <v>0</v>
      </c>
      <c r="R36" s="93">
        <f t="shared" ref="R36:R41" si="45">O36*I36</f>
        <v>0</v>
      </c>
      <c r="S36" s="39">
        <f t="shared" ref="S36:S41" si="46">SUM(O36+R36)</f>
        <v>0</v>
      </c>
    </row>
    <row r="37" spans="4:19">
      <c r="D37" s="83">
        <f t="shared" si="34"/>
        <v>0</v>
      </c>
      <c r="E37" s="121">
        <v>1</v>
      </c>
      <c r="F37" s="201">
        <f t="shared" si="35"/>
        <v>0</v>
      </c>
      <c r="G37" s="81">
        <f t="shared" si="36"/>
        <v>0</v>
      </c>
      <c r="H37" s="82">
        <f t="shared" si="37"/>
        <v>0</v>
      </c>
      <c r="I37" s="83">
        <f t="shared" si="38"/>
        <v>0</v>
      </c>
      <c r="J37" s="38">
        <f t="shared" si="39"/>
        <v>0</v>
      </c>
      <c r="K37" s="38">
        <f t="shared" si="39"/>
        <v>0</v>
      </c>
      <c r="L37" s="92">
        <f t="shared" ref="L37:L38" si="47">SUM(J37:K37)</f>
        <v>0</v>
      </c>
      <c r="M37" s="39">
        <f t="shared" si="40"/>
        <v>0</v>
      </c>
      <c r="N37" s="39">
        <f t="shared" si="41"/>
        <v>0</v>
      </c>
      <c r="O37" s="93">
        <f t="shared" si="42"/>
        <v>0</v>
      </c>
      <c r="P37" s="39">
        <f t="shared" si="43"/>
        <v>0</v>
      </c>
      <c r="Q37" s="39">
        <f t="shared" si="44"/>
        <v>0</v>
      </c>
      <c r="R37" s="93">
        <f t="shared" si="45"/>
        <v>0</v>
      </c>
      <c r="S37" s="39">
        <f t="shared" si="46"/>
        <v>0</v>
      </c>
    </row>
    <row r="38" spans="4:19">
      <c r="D38" s="83">
        <f t="shared" si="34"/>
        <v>0</v>
      </c>
      <c r="E38" s="121">
        <v>1</v>
      </c>
      <c r="F38" s="201">
        <f t="shared" si="35"/>
        <v>0</v>
      </c>
      <c r="G38" s="81">
        <f t="shared" si="36"/>
        <v>0</v>
      </c>
      <c r="H38" s="82">
        <f t="shared" si="37"/>
        <v>0</v>
      </c>
      <c r="I38" s="83">
        <f t="shared" si="38"/>
        <v>0</v>
      </c>
      <c r="J38" s="38">
        <f t="shared" si="39"/>
        <v>0</v>
      </c>
      <c r="K38" s="38">
        <f t="shared" si="39"/>
        <v>0</v>
      </c>
      <c r="L38" s="92">
        <f t="shared" si="47"/>
        <v>0</v>
      </c>
      <c r="M38" s="39">
        <f t="shared" si="40"/>
        <v>0</v>
      </c>
      <c r="N38" s="39">
        <f t="shared" si="41"/>
        <v>0</v>
      </c>
      <c r="O38" s="93">
        <f t="shared" si="42"/>
        <v>0</v>
      </c>
      <c r="P38" s="39">
        <f t="shared" si="43"/>
        <v>0</v>
      </c>
      <c r="Q38" s="39">
        <f t="shared" si="44"/>
        <v>0</v>
      </c>
      <c r="R38" s="93">
        <f t="shared" si="45"/>
        <v>0</v>
      </c>
      <c r="S38" s="39">
        <f t="shared" si="46"/>
        <v>0</v>
      </c>
    </row>
    <row r="39" spans="4:19">
      <c r="D39" s="121">
        <f t="shared" si="34"/>
        <v>0</v>
      </c>
      <c r="E39" s="121">
        <v>1</v>
      </c>
      <c r="F39" s="201">
        <f t="shared" si="35"/>
        <v>0</v>
      </c>
      <c r="G39" s="81">
        <f t="shared" si="36"/>
        <v>0</v>
      </c>
      <c r="H39" s="82">
        <f t="shared" si="37"/>
        <v>0</v>
      </c>
      <c r="I39" s="83">
        <f t="shared" si="38"/>
        <v>0</v>
      </c>
      <c r="J39" s="38">
        <f t="shared" si="39"/>
        <v>0</v>
      </c>
      <c r="K39" s="38">
        <f t="shared" si="39"/>
        <v>0</v>
      </c>
      <c r="L39" s="92">
        <f>SUM(J39:K39)</f>
        <v>0</v>
      </c>
      <c r="M39" s="39">
        <f t="shared" si="40"/>
        <v>0</v>
      </c>
      <c r="N39" s="39">
        <f t="shared" si="41"/>
        <v>0</v>
      </c>
      <c r="O39" s="93">
        <f t="shared" si="42"/>
        <v>0</v>
      </c>
      <c r="P39" s="39">
        <f t="shared" si="43"/>
        <v>0</v>
      </c>
      <c r="Q39" s="39">
        <f t="shared" si="44"/>
        <v>0</v>
      </c>
      <c r="R39" s="93">
        <f t="shared" si="45"/>
        <v>0</v>
      </c>
      <c r="S39" s="39">
        <f t="shared" si="46"/>
        <v>0</v>
      </c>
    </row>
    <row r="40" spans="4:19">
      <c r="D40" s="121">
        <f t="shared" si="34"/>
        <v>0</v>
      </c>
      <c r="E40" s="121">
        <v>1</v>
      </c>
      <c r="F40" s="201">
        <f t="shared" si="35"/>
        <v>0</v>
      </c>
      <c r="G40" s="81">
        <f t="shared" si="36"/>
        <v>0</v>
      </c>
      <c r="H40" s="82">
        <f t="shared" si="37"/>
        <v>0</v>
      </c>
      <c r="I40" s="83">
        <f t="shared" si="38"/>
        <v>0</v>
      </c>
      <c r="J40" s="38">
        <f t="shared" si="39"/>
        <v>0</v>
      </c>
      <c r="K40" s="38">
        <f t="shared" si="39"/>
        <v>0</v>
      </c>
      <c r="L40" s="92">
        <f t="shared" ref="L40:L41" si="48">SUM(J40:K40)</f>
        <v>0</v>
      </c>
      <c r="M40" s="39">
        <f t="shared" si="40"/>
        <v>0</v>
      </c>
      <c r="N40" s="39">
        <f t="shared" si="41"/>
        <v>0</v>
      </c>
      <c r="O40" s="93">
        <f t="shared" si="42"/>
        <v>0</v>
      </c>
      <c r="P40" s="39">
        <f t="shared" si="43"/>
        <v>0</v>
      </c>
      <c r="Q40" s="39">
        <f t="shared" si="44"/>
        <v>0</v>
      </c>
      <c r="R40" s="93">
        <f t="shared" si="45"/>
        <v>0</v>
      </c>
      <c r="S40" s="39">
        <f t="shared" si="46"/>
        <v>0</v>
      </c>
    </row>
    <row r="41" spans="4:19">
      <c r="D41" s="121">
        <f t="shared" si="34"/>
        <v>0</v>
      </c>
      <c r="E41" s="121">
        <v>1</v>
      </c>
      <c r="F41" s="201">
        <f t="shared" si="35"/>
        <v>0</v>
      </c>
      <c r="G41" s="81">
        <f t="shared" si="36"/>
        <v>0</v>
      </c>
      <c r="H41" s="82">
        <f t="shared" si="37"/>
        <v>0</v>
      </c>
      <c r="I41" s="83">
        <f t="shared" si="38"/>
        <v>0</v>
      </c>
      <c r="J41" s="38">
        <f t="shared" si="39"/>
        <v>0</v>
      </c>
      <c r="K41" s="38">
        <f t="shared" si="39"/>
        <v>0</v>
      </c>
      <c r="L41" s="92">
        <f t="shared" si="48"/>
        <v>0</v>
      </c>
      <c r="M41" s="39">
        <f t="shared" si="40"/>
        <v>0</v>
      </c>
      <c r="N41" s="39">
        <f t="shared" si="41"/>
        <v>0</v>
      </c>
      <c r="O41" s="93">
        <f t="shared" si="42"/>
        <v>0</v>
      </c>
      <c r="P41" s="39">
        <f t="shared" si="43"/>
        <v>0</v>
      </c>
      <c r="Q41" s="39">
        <f t="shared" si="44"/>
        <v>0</v>
      </c>
      <c r="R41" s="93">
        <f t="shared" si="45"/>
        <v>0</v>
      </c>
      <c r="S41" s="39">
        <f t="shared" si="46"/>
        <v>0</v>
      </c>
    </row>
    <row r="42" spans="4:19">
      <c r="D42" s="6"/>
      <c r="E42" s="6"/>
      <c r="F42" s="96"/>
      <c r="G42" s="97">
        <f>SUM(G36:G41)</f>
        <v>0</v>
      </c>
      <c r="H42" s="98" t="e">
        <f>AK42/G42</f>
        <v>#DIV/0!</v>
      </c>
      <c r="I42" s="99" t="e">
        <f>AP42/G42</f>
        <v>#DIV/0!</v>
      </c>
      <c r="J42" s="104">
        <f t="shared" ref="J42:S42" si="49">SUM(J36:J41)</f>
        <v>0</v>
      </c>
      <c r="K42" s="104">
        <f t="shared" si="49"/>
        <v>0</v>
      </c>
      <c r="L42" s="104">
        <f t="shared" si="49"/>
        <v>0</v>
      </c>
      <c r="M42" s="103">
        <f t="shared" si="49"/>
        <v>0</v>
      </c>
      <c r="N42" s="103">
        <f t="shared" si="49"/>
        <v>0</v>
      </c>
      <c r="O42" s="117">
        <f t="shared" si="49"/>
        <v>0</v>
      </c>
      <c r="P42" s="103">
        <f t="shared" si="49"/>
        <v>0</v>
      </c>
      <c r="Q42" s="103">
        <f t="shared" si="49"/>
        <v>0</v>
      </c>
      <c r="R42" s="103">
        <f t="shared" si="49"/>
        <v>0</v>
      </c>
      <c r="S42" s="103">
        <f t="shared" si="49"/>
        <v>0</v>
      </c>
    </row>
    <row r="43" spans="4:19">
      <c r="L43" s="8"/>
      <c r="M43" s="37"/>
      <c r="N43" s="37"/>
      <c r="O43" s="37"/>
      <c r="P43" s="37"/>
      <c r="Q43" s="37"/>
      <c r="R43" s="37"/>
      <c r="S43" s="37"/>
    </row>
    <row r="44" spans="4:19">
      <c r="L44" s="8"/>
      <c r="M44" s="95"/>
      <c r="N44" s="95"/>
      <c r="O44" s="95"/>
      <c r="P44" s="95"/>
      <c r="Q44" s="95"/>
      <c r="R44" s="95"/>
      <c r="S44" s="95"/>
    </row>
    <row r="45" spans="4:19" ht="15" thickBot="1"/>
    <row r="46" spans="4:19" ht="15" thickBot="1">
      <c r="F46" s="444" t="s">
        <v>0</v>
      </c>
      <c r="G46" s="417"/>
      <c r="H46" s="160"/>
      <c r="I46" s="161" t="s">
        <v>12</v>
      </c>
      <c r="J46" s="161" t="s">
        <v>179</v>
      </c>
      <c r="K46" s="160"/>
      <c r="L46" s="159" t="s">
        <v>14</v>
      </c>
      <c r="M46" s="162" t="s">
        <v>179</v>
      </c>
      <c r="N46" s="173" t="s">
        <v>15</v>
      </c>
    </row>
    <row r="47" spans="4:19" ht="15" thickBot="1">
      <c r="F47" s="445" t="s">
        <v>18</v>
      </c>
      <c r="G47" s="399"/>
      <c r="H47" s="160"/>
      <c r="I47" s="163">
        <f>M44</f>
        <v>0</v>
      </c>
      <c r="J47" s="164" t="e">
        <f>I47/N47</f>
        <v>#DIV/0!</v>
      </c>
      <c r="K47" s="165"/>
      <c r="L47" s="166">
        <f>N44</f>
        <v>0</v>
      </c>
      <c r="M47" s="164" t="e">
        <f>L47/N47</f>
        <v>#DIV/0!</v>
      </c>
      <c r="N47" s="174">
        <f>SUM(I47+L47)</f>
        <v>0</v>
      </c>
    </row>
    <row r="48" spans="4:19" ht="15" thickBot="1">
      <c r="F48" s="446" t="s">
        <v>87</v>
      </c>
      <c r="G48" s="447"/>
      <c r="H48" s="175"/>
      <c r="I48" s="182">
        <f>P44</f>
        <v>0</v>
      </c>
      <c r="J48" s="183" t="e">
        <f>I48/N48</f>
        <v>#DIV/0!</v>
      </c>
      <c r="K48" s="184"/>
      <c r="L48" s="185">
        <f>Q44</f>
        <v>0</v>
      </c>
      <c r="M48" s="183" t="e">
        <f>L48/N48</f>
        <v>#DIV/0!</v>
      </c>
      <c r="N48" s="186">
        <f>SUM(I48+L48)</f>
        <v>0</v>
      </c>
    </row>
    <row r="49" spans="9:14">
      <c r="I49" s="187">
        <f>SUM(I47:I48)</f>
        <v>0</v>
      </c>
      <c r="J49" s="188"/>
      <c r="K49" s="188"/>
      <c r="L49" s="187">
        <f>SUM(L47:L48)</f>
        <v>0</v>
      </c>
      <c r="M49" s="188"/>
      <c r="N49" s="187">
        <f>SUM(N47:N48)</f>
        <v>0</v>
      </c>
    </row>
  </sheetData>
  <mergeCells count="36">
    <mergeCell ref="F2:O2"/>
    <mergeCell ref="F3:O3"/>
    <mergeCell ref="F4:G5"/>
    <mergeCell ref="N4:N5"/>
    <mergeCell ref="F11:G11"/>
    <mergeCell ref="F17:G17"/>
    <mergeCell ref="O4:O5"/>
    <mergeCell ref="F6:O6"/>
    <mergeCell ref="F7:G7"/>
    <mergeCell ref="F8:G8"/>
    <mergeCell ref="F9:G9"/>
    <mergeCell ref="F10:O10"/>
    <mergeCell ref="F23:G23"/>
    <mergeCell ref="L23:M23"/>
    <mergeCell ref="M27:O27"/>
    <mergeCell ref="D5:E5"/>
    <mergeCell ref="F18:G18"/>
    <mergeCell ref="F19:G19"/>
    <mergeCell ref="F20:M20"/>
    <mergeCell ref="F21:G21"/>
    <mergeCell ref="L21:M21"/>
    <mergeCell ref="F22:G22"/>
    <mergeCell ref="L22:M22"/>
    <mergeCell ref="F12:O12"/>
    <mergeCell ref="F13:G13"/>
    <mergeCell ref="F14:G14"/>
    <mergeCell ref="F15:G15"/>
    <mergeCell ref="F16:G16"/>
    <mergeCell ref="F46:G46"/>
    <mergeCell ref="F47:G47"/>
    <mergeCell ref="F48:G48"/>
    <mergeCell ref="D27:E27"/>
    <mergeCell ref="P27:R27"/>
    <mergeCell ref="D34:E34"/>
    <mergeCell ref="P34:R34"/>
    <mergeCell ref="M34:O34"/>
  </mergeCells>
  <conditionalFormatting sqref="G32 G42">
    <cfRule type="cellIs" dxfId="6" priority="14" operator="greaterThan">
      <formula>1</formula>
    </cfRule>
    <cfRule type="cellIs" dxfId="5" priority="15" operator="lessThan">
      <formula>1</formula>
    </cfRule>
    <cfRule type="cellIs" dxfId="4" priority="16" operator="equal">
      <formula>1</formula>
    </cfRule>
  </conditionalFormatting>
  <conditionalFormatting sqref="M42">
    <cfRule type="cellIs" dxfId="3" priority="1" operator="lessThan">
      <formula>$M$32*0.1</formula>
    </cfRule>
    <cfRule type="cellIs" dxfId="2" priority="2" operator="lessThan">
      <formula>$M$32*0.1</formula>
    </cfRule>
  </conditionalFormatting>
  <conditionalFormatting sqref="O42">
    <cfRule type="cellIs" dxfId="1" priority="7" operator="lessThan">
      <formula>$L$7*0.1</formula>
    </cfRule>
    <cfRule type="cellIs" dxfId="0" priority="8" operator="lessThan">
      <formula>$L$7*0.1</formula>
    </cfRule>
  </conditionalFormatting>
  <pageMargins left="0.7" right="0.7" top="0.75" bottom="0.75" header="0.3" footer="0.3"/>
  <pageSetup orientation="portrait" r:id="rId1"/>
  <ignoredErrors>
    <ignoredError sqref="D7" formulaRange="1"/>
  </ignoredError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A2:J23"/>
  <sheetViews>
    <sheetView workbookViewId="0">
      <selection activeCell="I12" sqref="I12"/>
    </sheetView>
  </sheetViews>
  <sheetFormatPr defaultColWidth="0" defaultRowHeight="14.4"/>
  <cols>
    <col min="1" max="1" width="9.109375" customWidth="1"/>
    <col min="2" max="2" width="8.6640625" style="31" customWidth="1"/>
    <col min="3" max="3" width="11.88671875" style="31" customWidth="1"/>
    <col min="4" max="4" width="12.33203125" style="31" bestFit="1" customWidth="1"/>
    <col min="5" max="5" width="9.109375" style="31" customWidth="1"/>
    <col min="6" max="6" width="12.6640625" style="31" bestFit="1" customWidth="1"/>
    <col min="7" max="7" width="10.33203125" style="31" bestFit="1" customWidth="1"/>
    <col min="8" max="8" width="12" style="31" bestFit="1" customWidth="1"/>
    <col min="9" max="9" width="12.5546875" style="31" bestFit="1" customWidth="1"/>
    <col min="10" max="10" width="9.109375" customWidth="1"/>
    <col min="11" max="16384" width="9.109375" hidden="1"/>
  </cols>
  <sheetData>
    <row r="2" spans="2:9" ht="73.5" customHeight="1">
      <c r="B2" s="480" t="s">
        <v>103</v>
      </c>
      <c r="C2" s="480"/>
      <c r="D2" s="480"/>
      <c r="E2" s="480"/>
      <c r="F2" s="480"/>
      <c r="G2" s="480"/>
      <c r="H2" s="480"/>
      <c r="I2" s="480"/>
    </row>
    <row r="3" spans="2:9" ht="66.75" customHeight="1">
      <c r="B3" s="480" t="s">
        <v>104</v>
      </c>
      <c r="C3" s="480"/>
      <c r="D3" s="480"/>
      <c r="E3" s="480"/>
      <c r="F3" s="480"/>
      <c r="G3" s="480"/>
      <c r="H3" s="480"/>
      <c r="I3" s="480"/>
    </row>
    <row r="4" spans="2:9" ht="45" customHeight="1">
      <c r="B4" s="480" t="s">
        <v>105</v>
      </c>
      <c r="C4" s="480"/>
      <c r="D4" s="480"/>
      <c r="E4" s="480"/>
      <c r="F4" s="480"/>
      <c r="G4" s="480"/>
      <c r="H4" s="480"/>
      <c r="I4" s="480"/>
    </row>
    <row r="5" spans="2:9" ht="15" thickBot="1">
      <c r="B5" s="481"/>
      <c r="C5" s="481"/>
      <c r="D5" s="481"/>
      <c r="E5" s="481"/>
      <c r="F5" s="481"/>
      <c r="G5" s="481"/>
      <c r="H5" s="481"/>
      <c r="I5" s="481"/>
    </row>
    <row r="6" spans="2:9" ht="53.4">
      <c r="B6" s="24"/>
      <c r="C6" s="25" t="s">
        <v>106</v>
      </c>
      <c r="D6" s="25" t="s">
        <v>107</v>
      </c>
      <c r="E6" s="25" t="s">
        <v>108</v>
      </c>
      <c r="F6" s="25" t="s">
        <v>109</v>
      </c>
      <c r="G6" s="25" t="s">
        <v>110</v>
      </c>
      <c r="H6" s="25" t="s">
        <v>111</v>
      </c>
      <c r="I6" s="26" t="s">
        <v>112</v>
      </c>
    </row>
    <row r="7" spans="2:9">
      <c r="B7" s="27" t="s">
        <v>113</v>
      </c>
      <c r="C7" s="110"/>
      <c r="D7" s="111"/>
      <c r="E7" s="112"/>
      <c r="F7" s="111"/>
      <c r="G7" s="111"/>
      <c r="H7" s="113"/>
      <c r="I7" s="28">
        <f xml:space="preserve"> IF(H7 &gt;0, (IF(E7&gt;0, ((D7/E7+F7+G7)/H7), ((F7+G7)/H7))), 0)</f>
        <v>0</v>
      </c>
    </row>
    <row r="8" spans="2:9">
      <c r="B8" s="27" t="s">
        <v>114</v>
      </c>
      <c r="C8" s="110"/>
      <c r="D8" s="111"/>
      <c r="E8" s="112"/>
      <c r="F8" s="111"/>
      <c r="G8" s="111"/>
      <c r="H8" s="113"/>
      <c r="I8" s="28">
        <f t="shared" ref="I8:I11" si="0" xml:space="preserve"> IF(H8 &gt;0, (IF(E8&gt;0, ((D8/E8+F8+G8)/H8), ((F8+G8)/H8))), 0)</f>
        <v>0</v>
      </c>
    </row>
    <row r="9" spans="2:9">
      <c r="B9" s="27" t="s">
        <v>115</v>
      </c>
      <c r="C9" s="110"/>
      <c r="D9" s="111"/>
      <c r="E9" s="112"/>
      <c r="F9" s="111"/>
      <c r="G9" s="111"/>
      <c r="H9" s="113"/>
      <c r="I9" s="28">
        <f t="shared" si="0"/>
        <v>0</v>
      </c>
    </row>
    <row r="10" spans="2:9">
      <c r="B10" s="27" t="s">
        <v>116</v>
      </c>
      <c r="C10" s="110"/>
      <c r="D10" s="111"/>
      <c r="E10" s="112"/>
      <c r="F10" s="111"/>
      <c r="G10" s="111"/>
      <c r="H10" s="113"/>
      <c r="I10" s="28">
        <f t="shared" si="0"/>
        <v>0</v>
      </c>
    </row>
    <row r="11" spans="2:9">
      <c r="B11" s="27" t="s">
        <v>117</v>
      </c>
      <c r="C11" s="110"/>
      <c r="D11" s="111"/>
      <c r="E11" s="112"/>
      <c r="F11" s="111"/>
      <c r="G11" s="111"/>
      <c r="H11" s="113"/>
      <c r="I11" s="28">
        <f t="shared" si="0"/>
        <v>0</v>
      </c>
    </row>
    <row r="12" spans="2:9" ht="15" thickBot="1">
      <c r="B12" s="29"/>
      <c r="C12" s="482" t="s">
        <v>118</v>
      </c>
      <c r="D12" s="482"/>
      <c r="E12" s="482"/>
      <c r="F12" s="482"/>
      <c r="G12" s="482"/>
      <c r="H12" s="482"/>
      <c r="I12" s="30">
        <f>IF(I7&gt;0,  (IF(I8&gt;0, (IF(I9&gt;0, (IF(I10&gt;0, (IF(I11&gt;0, ((I7+I8+I9+I10+I11)/5), ((I7+I8+I9+I10)/4))), ((I7+I8+I9)/3))), ((I7+I8)/2))), I7)), 0)</f>
        <v>0</v>
      </c>
    </row>
    <row r="13" spans="2:9">
      <c r="B13" s="479"/>
      <c r="C13" s="479"/>
      <c r="D13" s="479"/>
      <c r="E13" s="479"/>
      <c r="F13" s="479"/>
      <c r="G13" s="479"/>
      <c r="H13" s="479"/>
      <c r="I13" s="479"/>
    </row>
    <row r="14" spans="2:9">
      <c r="B14" s="476" t="s">
        <v>119</v>
      </c>
      <c r="C14" s="476"/>
      <c r="D14" s="476"/>
      <c r="E14" s="476"/>
      <c r="F14" s="476"/>
      <c r="G14" s="476"/>
      <c r="H14" s="476"/>
      <c r="I14" s="476"/>
    </row>
    <row r="16" spans="2:9">
      <c r="B16" s="478" t="s">
        <v>120</v>
      </c>
      <c r="C16" s="478"/>
      <c r="D16" s="378"/>
      <c r="E16" s="378"/>
      <c r="F16" s="378"/>
      <c r="G16" s="378"/>
      <c r="H16" s="378"/>
      <c r="I16" s="378"/>
    </row>
    <row r="17" spans="2:9" ht="67.5" customHeight="1">
      <c r="B17" s="476" t="s">
        <v>121</v>
      </c>
      <c r="C17" s="477"/>
      <c r="D17" s="477"/>
      <c r="E17" s="477"/>
      <c r="F17" s="477"/>
      <c r="G17" s="477"/>
      <c r="H17" s="477"/>
      <c r="I17" s="477"/>
    </row>
    <row r="18" spans="2:9" ht="29.25" customHeight="1">
      <c r="B18" s="476" t="s">
        <v>122</v>
      </c>
      <c r="C18" s="477"/>
      <c r="D18" s="477"/>
      <c r="E18" s="477"/>
      <c r="F18" s="477"/>
      <c r="G18" s="477"/>
      <c r="H18" s="477"/>
      <c r="I18" s="477"/>
    </row>
    <row r="19" spans="2:9" ht="33" customHeight="1">
      <c r="B19" s="476" t="s">
        <v>123</v>
      </c>
      <c r="C19" s="477"/>
      <c r="D19" s="477"/>
      <c r="E19" s="477"/>
      <c r="F19" s="477"/>
      <c r="G19" s="477"/>
      <c r="H19" s="477"/>
      <c r="I19" s="477"/>
    </row>
    <row r="20" spans="2:9" ht="27.75" customHeight="1">
      <c r="B20" s="476" t="s">
        <v>124</v>
      </c>
      <c r="C20" s="477"/>
      <c r="D20" s="477"/>
      <c r="E20" s="477"/>
      <c r="F20" s="477"/>
      <c r="G20" s="477"/>
      <c r="H20" s="477"/>
      <c r="I20" s="477"/>
    </row>
    <row r="21" spans="2:9" ht="20.25" customHeight="1">
      <c r="B21" s="476" t="s">
        <v>125</v>
      </c>
      <c r="C21" s="477"/>
      <c r="D21" s="477"/>
      <c r="E21" s="477"/>
      <c r="F21" s="477"/>
      <c r="G21" s="477"/>
      <c r="H21" s="477"/>
      <c r="I21" s="477"/>
    </row>
    <row r="22" spans="2:9" ht="45.75" customHeight="1">
      <c r="B22" s="476" t="s">
        <v>126</v>
      </c>
      <c r="C22" s="477"/>
      <c r="D22" s="477"/>
      <c r="E22" s="477"/>
      <c r="F22" s="477"/>
      <c r="G22" s="477"/>
      <c r="H22" s="477"/>
      <c r="I22" s="477"/>
    </row>
    <row r="23" spans="2:9">
      <c r="B23" s="32"/>
      <c r="C23" s="32"/>
      <c r="D23" s="32"/>
      <c r="E23" s="32"/>
      <c r="F23" s="32"/>
      <c r="G23" s="32"/>
      <c r="H23" s="32"/>
      <c r="I23" s="32"/>
    </row>
  </sheetData>
  <sheetProtection sheet="1" objects="1" scenarios="1"/>
  <protectedRanges>
    <protectedRange sqref="C7:D11 F7:H11" name="Input"/>
  </protectedRanges>
  <mergeCells count="14">
    <mergeCell ref="B13:I13"/>
    <mergeCell ref="B2:I2"/>
    <mergeCell ref="B3:I3"/>
    <mergeCell ref="B4:I4"/>
    <mergeCell ref="B5:I5"/>
    <mergeCell ref="C12:H12"/>
    <mergeCell ref="B21:I21"/>
    <mergeCell ref="B22:I22"/>
    <mergeCell ref="B14:I14"/>
    <mergeCell ref="B16:I16"/>
    <mergeCell ref="B17:I17"/>
    <mergeCell ref="B18:I18"/>
    <mergeCell ref="B19:I19"/>
    <mergeCell ref="B20:I20"/>
  </mergeCells>
  <dataValidations count="1">
    <dataValidation type="list" allowBlank="1" showInputMessage="1" showErrorMessage="1" sqref="E983047:E983051 E65543:E65547 E131079:E131083 E196615:E196619 E262151:E262155 E327687:E327691 E393223:E393227 E458759:E458763 E524295:E524299 E589831:E589835 E655367:E655371 E720903:E720907 E786439:E786443 E851975:E851979 E917511:E917515" xr:uid="{00000000-0002-0000-0200-000000000000}">
      <formula1>$J$2:$J$11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M1004"/>
  <sheetViews>
    <sheetView zoomScale="120" zoomScaleNormal="120" workbookViewId="0">
      <selection activeCell="D5" sqref="D5"/>
    </sheetView>
  </sheetViews>
  <sheetFormatPr defaultColWidth="0" defaultRowHeight="0" customHeight="1" zeroHeight="1"/>
  <cols>
    <col min="1" max="1" width="2.109375" customWidth="1"/>
    <col min="2" max="2" width="8.6640625" customWidth="1"/>
    <col min="3" max="3" width="29.33203125" customWidth="1"/>
    <col min="4" max="4" width="21.5546875" customWidth="1"/>
    <col min="5" max="5" width="12.33203125" customWidth="1"/>
    <col min="6" max="6" width="14.88671875" customWidth="1"/>
    <col min="7" max="7" width="11.33203125" customWidth="1"/>
    <col min="8" max="8" width="26.6640625" customWidth="1"/>
    <col min="9" max="9" width="17" customWidth="1"/>
    <col min="10" max="10" width="19.6640625" customWidth="1"/>
    <col min="11" max="11" width="13.88671875" customWidth="1"/>
    <col min="12" max="12" width="10.109375" hidden="1" customWidth="1"/>
    <col min="13" max="13" width="9.109375" customWidth="1"/>
    <col min="14" max="16384" width="9.109375" hidden="1"/>
  </cols>
  <sheetData>
    <row r="1" spans="2:12" ht="10.5" customHeight="1" thickBot="1"/>
    <row r="2" spans="2:12" ht="16.5" customHeight="1" thickBot="1">
      <c r="B2" s="33" t="s">
        <v>0</v>
      </c>
      <c r="C2" s="33" t="s">
        <v>1</v>
      </c>
      <c r="D2" s="33" t="s">
        <v>2</v>
      </c>
      <c r="F2" s="365" t="s">
        <v>4</v>
      </c>
      <c r="G2" s="366"/>
      <c r="H2" s="367" t="s">
        <v>192</v>
      </c>
      <c r="I2" s="366"/>
      <c r="J2" s="239" t="s">
        <v>9</v>
      </c>
    </row>
    <row r="3" spans="2:12" ht="15.75" customHeight="1">
      <c r="B3" s="34"/>
      <c r="C3" s="35" t="s">
        <v>102</v>
      </c>
      <c r="D3" s="343">
        <v>0</v>
      </c>
      <c r="F3" s="368" t="s">
        <v>13</v>
      </c>
      <c r="G3" s="369"/>
      <c r="H3" s="370">
        <f>Calibration!D3</f>
        <v>0</v>
      </c>
      <c r="I3" s="369"/>
      <c r="J3" s="240">
        <f>Sheet1!J22</f>
        <v>0</v>
      </c>
    </row>
    <row r="4" spans="2:12" ht="15.75" customHeight="1">
      <c r="B4" s="34"/>
      <c r="C4" s="35" t="s">
        <v>196</v>
      </c>
      <c r="D4" s="283">
        <v>1</v>
      </c>
      <c r="F4" s="373" t="s">
        <v>160</v>
      </c>
      <c r="G4" s="372"/>
      <c r="H4" s="371">
        <f>H3*D41</f>
        <v>0</v>
      </c>
      <c r="I4" s="372"/>
      <c r="J4" s="241">
        <f>'Budget Summary'!E35</f>
        <v>0</v>
      </c>
      <c r="L4" s="94">
        <f>J3*D41</f>
        <v>0</v>
      </c>
    </row>
    <row r="5" spans="2:12" ht="15.75" customHeight="1" thickBot="1">
      <c r="B5" s="34"/>
      <c r="C5" s="35" t="s">
        <v>198</v>
      </c>
      <c r="D5" s="284" t="s">
        <v>197</v>
      </c>
      <c r="E5" s="242"/>
      <c r="F5" s="352" t="s">
        <v>25</v>
      </c>
      <c r="G5" s="353"/>
      <c r="H5" s="354">
        <f>SUM(H3:I4)</f>
        <v>0</v>
      </c>
      <c r="I5" s="353"/>
      <c r="J5" s="243">
        <f>SUM(J3:J4)</f>
        <v>0</v>
      </c>
    </row>
    <row r="6" spans="2:12" ht="15.75" hidden="1" customHeight="1" thickBot="1">
      <c r="B6" s="34">
        <v>100</v>
      </c>
      <c r="C6" s="35" t="s">
        <v>202</v>
      </c>
      <c r="D6" s="308">
        <f>'Effective Rates'!E23</f>
        <v>0</v>
      </c>
      <c r="E6" s="37"/>
      <c r="F6" s="244"/>
      <c r="G6" s="34"/>
      <c r="J6" s="245"/>
      <c r="K6" s="246"/>
    </row>
    <row r="7" spans="2:12" ht="15.75" customHeight="1">
      <c r="B7" s="247">
        <v>100</v>
      </c>
      <c r="C7" s="248" t="s">
        <v>163</v>
      </c>
      <c r="D7" s="249"/>
      <c r="E7" s="37"/>
      <c r="F7" s="355" t="s">
        <v>35</v>
      </c>
      <c r="G7" s="356"/>
      <c r="H7" s="250" t="s">
        <v>36</v>
      </c>
      <c r="I7" s="250" t="s">
        <v>190</v>
      </c>
      <c r="J7" s="251" t="s">
        <v>37</v>
      </c>
      <c r="K7" s="252"/>
    </row>
    <row r="8" spans="2:12" ht="15.75" customHeight="1">
      <c r="B8" s="34">
        <v>300</v>
      </c>
      <c r="C8" s="36" t="s">
        <v>29</v>
      </c>
      <c r="D8" s="128">
        <v>0.54500000000000004</v>
      </c>
      <c r="E8" s="34"/>
      <c r="F8" s="359" t="s">
        <v>30</v>
      </c>
      <c r="G8" s="360"/>
      <c r="H8" s="38">
        <f>H9/Calibration!D4</f>
        <v>0</v>
      </c>
      <c r="I8" s="38">
        <f>IF(D5="Y",H8,H8*2.5)</f>
        <v>0</v>
      </c>
      <c r="J8" s="253">
        <f>IF(J9&gt;0,J9/Calibration!D4,0)</f>
        <v>0</v>
      </c>
    </row>
    <row r="9" spans="2:12" ht="15.75" customHeight="1" thickBot="1">
      <c r="B9" s="34">
        <v>300</v>
      </c>
      <c r="C9" s="36" t="s">
        <v>127</v>
      </c>
      <c r="D9" s="128">
        <v>1.58</v>
      </c>
      <c r="E9" s="254"/>
      <c r="F9" s="361" t="s">
        <v>31</v>
      </c>
      <c r="G9" s="362"/>
      <c r="H9" s="255">
        <f>Sheet1!C37</f>
        <v>0</v>
      </c>
      <c r="I9" s="255">
        <f>H9*2.5</f>
        <v>0</v>
      </c>
      <c r="J9" s="256">
        <f>Sheet1!C28</f>
        <v>0</v>
      </c>
      <c r="K9" s="252"/>
    </row>
    <row r="10" spans="2:12" ht="15.75" customHeight="1" thickBot="1">
      <c r="B10" s="34">
        <v>300</v>
      </c>
      <c r="C10" s="34" t="s">
        <v>32</v>
      </c>
      <c r="D10" s="129"/>
      <c r="E10" s="254"/>
      <c r="F10" s="244"/>
      <c r="G10" s="34"/>
      <c r="J10" s="245"/>
      <c r="K10" s="252"/>
    </row>
    <row r="11" spans="2:12" ht="15.75" customHeight="1">
      <c r="B11" s="257">
        <v>300</v>
      </c>
      <c r="C11" s="257" t="s">
        <v>167</v>
      </c>
      <c r="D11" s="132"/>
      <c r="E11" s="254"/>
      <c r="F11" s="355" t="s">
        <v>65</v>
      </c>
      <c r="G11" s="356"/>
      <c r="H11" s="250" t="s">
        <v>164</v>
      </c>
      <c r="I11" s="250" t="s">
        <v>165</v>
      </c>
      <c r="J11" s="251" t="s">
        <v>166</v>
      </c>
      <c r="K11" s="254"/>
    </row>
    <row r="12" spans="2:12" ht="15.75" customHeight="1">
      <c r="B12" s="34">
        <v>300</v>
      </c>
      <c r="C12" s="34" t="s">
        <v>34</v>
      </c>
      <c r="D12" s="130"/>
      <c r="E12" s="254"/>
      <c r="F12" s="359" t="s">
        <v>30</v>
      </c>
      <c r="G12" s="360"/>
      <c r="H12" s="38">
        <f>H13/Calibration!D4</f>
        <v>0</v>
      </c>
      <c r="I12" s="38">
        <f>I13/Calibration!D4</f>
        <v>0</v>
      </c>
      <c r="J12" s="363" t="e">
        <f>SUM(H13:I13)/H9</f>
        <v>#DIV/0!</v>
      </c>
      <c r="K12" s="254"/>
    </row>
    <row r="13" spans="2:12" ht="15.75" customHeight="1" thickBot="1">
      <c r="B13" s="257">
        <v>300</v>
      </c>
      <c r="C13" s="257" t="s">
        <v>168</v>
      </c>
      <c r="D13" s="132"/>
      <c r="F13" s="361" t="s">
        <v>31</v>
      </c>
      <c r="G13" s="362"/>
      <c r="H13" s="255">
        <f>'Effective Rates'!J21</f>
        <v>0</v>
      </c>
      <c r="I13" s="255">
        <f>'Effective Rates'!J14</f>
        <v>0</v>
      </c>
      <c r="J13" s="364"/>
      <c r="K13" s="258"/>
    </row>
    <row r="14" spans="2:12" ht="15.75" customHeight="1" thickBot="1">
      <c r="B14" s="34">
        <v>700</v>
      </c>
      <c r="C14" s="34" t="s">
        <v>38</v>
      </c>
      <c r="D14" s="130"/>
      <c r="F14" s="33"/>
      <c r="G14" s="252"/>
      <c r="H14" s="252"/>
      <c r="I14" s="259"/>
      <c r="J14" s="259"/>
      <c r="K14" s="258"/>
    </row>
    <row r="15" spans="2:12" ht="15.75" customHeight="1">
      <c r="B15" s="34">
        <v>800</v>
      </c>
      <c r="C15" s="34" t="s">
        <v>39</v>
      </c>
      <c r="D15" s="131">
        <v>0.15</v>
      </c>
      <c r="F15" s="357" t="s">
        <v>67</v>
      </c>
      <c r="G15" s="358"/>
      <c r="H15" s="260" t="s">
        <v>12</v>
      </c>
      <c r="I15" s="261" t="s">
        <v>14</v>
      </c>
      <c r="J15" s="262" t="s">
        <v>15</v>
      </c>
    </row>
    <row r="16" spans="2:12" ht="15.75" customHeight="1" thickBot="1">
      <c r="B16" s="257">
        <v>800</v>
      </c>
      <c r="C16" s="257" t="s">
        <v>169</v>
      </c>
      <c r="D16" s="133">
        <v>1</v>
      </c>
      <c r="F16" s="348" t="s">
        <v>44</v>
      </c>
      <c r="G16" s="349"/>
      <c r="H16" s="263" t="e">
        <f>('Effective Rates'!K7+'Effective Rates'!K22+'Effective Rates'!N22+'Effective Rates'!N7)/Sheet1!C37</f>
        <v>#DIV/0!</v>
      </c>
      <c r="I16" s="264" t="e">
        <f>('Effective Rates'!L7+'Effective Rates'!L21+'Effective Rates'!O7+'Effective Rates'!O21)/H9</f>
        <v>#DIV/0!</v>
      </c>
      <c r="J16" s="265" t="e">
        <f>SUM(H16:I16)</f>
        <v>#DIV/0!</v>
      </c>
    </row>
    <row r="17" spans="2:12" ht="15.75" customHeight="1" thickBot="1">
      <c r="B17" s="247"/>
      <c r="C17" s="247" t="s">
        <v>170</v>
      </c>
      <c r="D17" s="266"/>
      <c r="F17" s="350" t="s">
        <v>66</v>
      </c>
      <c r="G17" s="351"/>
      <c r="H17" s="267" t="e">
        <f>Sheet1!J22/H9</f>
        <v>#DIV/0!</v>
      </c>
      <c r="I17" s="268" t="e">
        <f>Sheet1!K22/H9</f>
        <v>#DIV/0!</v>
      </c>
      <c r="J17" s="269" t="e">
        <f>SUM(H17:I17)</f>
        <v>#DIV/0!</v>
      </c>
    </row>
    <row r="18" spans="2:12" ht="15.75" customHeight="1">
      <c r="B18" s="34"/>
      <c r="C18" s="34"/>
      <c r="D18" s="205"/>
      <c r="E18" s="37"/>
    </row>
    <row r="19" spans="2:12" ht="16.5" customHeight="1">
      <c r="B19" s="34"/>
      <c r="C19" s="35" t="s">
        <v>241</v>
      </c>
      <c r="D19" s="191" t="e">
        <f>J4/SUM(J3:J4)</f>
        <v>#DIV/0!</v>
      </c>
      <c r="E19" s="242"/>
    </row>
    <row r="20" spans="2:12" ht="15.75" customHeight="1">
      <c r="B20" s="34"/>
      <c r="C20" s="34" t="s">
        <v>40</v>
      </c>
      <c r="D20" s="37">
        <f>J4-L4</f>
        <v>0</v>
      </c>
      <c r="E20" s="270"/>
      <c r="H20" s="286"/>
      <c r="I20" s="287"/>
    </row>
    <row r="21" spans="2:12" ht="15.75" customHeight="1">
      <c r="C21" s="34" t="s">
        <v>48</v>
      </c>
      <c r="D21" s="273" t="e">
        <f>'Budget Summary'!D35/Calibration!D3</f>
        <v>#DIV/0!</v>
      </c>
      <c r="E21" s="270"/>
    </row>
    <row r="22" spans="2:12" ht="15" thickBot="1">
      <c r="C22" s="35" t="s">
        <v>207</v>
      </c>
      <c r="D22" s="168" t="e">
        <f>'Effective Rates'!E26/'Effective Rates'!E25</f>
        <v>#DIV/0!</v>
      </c>
    </row>
    <row r="23" spans="2:12" ht="15.75" customHeight="1" thickBot="1">
      <c r="C23" s="340" t="s">
        <v>251</v>
      </c>
      <c r="D23" s="341">
        <f>IF((Calibration!H9/480)&lt;=2,2,ROUND(Calibration!H9/480,0))</f>
        <v>2</v>
      </c>
    </row>
    <row r="24" spans="2:12" ht="15.75" hidden="1" customHeight="1">
      <c r="L24" s="33"/>
    </row>
    <row r="25" spans="2:12" ht="14.4" hidden="1">
      <c r="C25" s="346" t="s">
        <v>135</v>
      </c>
      <c r="D25" s="347"/>
    </row>
    <row r="26" spans="2:12" ht="14.4" hidden="1">
      <c r="C26" s="274" t="s">
        <v>208</v>
      </c>
      <c r="D26" s="275" t="e">
        <f>#REF!</f>
        <v>#REF!</v>
      </c>
    </row>
    <row r="27" spans="2:12" ht="15.75" hidden="1" customHeight="1">
      <c r="C27" s="271" t="s">
        <v>133</v>
      </c>
      <c r="D27" s="115">
        <f>'Negotiation Tool'!C6</f>
        <v>0</v>
      </c>
    </row>
    <row r="28" spans="2:12" ht="15" hidden="1" customHeight="1" thickBot="1">
      <c r="C28" s="276" t="s">
        <v>134</v>
      </c>
      <c r="D28" s="277" t="e">
        <f>ROUNDDOWN(Calibration!H8/D27,0)</f>
        <v>#DIV/0!</v>
      </c>
    </row>
    <row r="29" spans="2:12" ht="15.75" hidden="1" customHeight="1">
      <c r="C29" s="278" t="s">
        <v>136</v>
      </c>
      <c r="D29" s="114" t="e">
        <f>D26</f>
        <v>#REF!</v>
      </c>
    </row>
    <row r="30" spans="2:12" ht="15" hidden="1" customHeight="1">
      <c r="C30" s="279" t="s">
        <v>140</v>
      </c>
      <c r="D30" s="272" t="e">
        <f>ROUNDDOWN(Calibration!H8/D29,0)</f>
        <v>#REF!</v>
      </c>
    </row>
    <row r="31" spans="2:12" ht="15.75" hidden="1" customHeight="1">
      <c r="C31" s="280" t="s">
        <v>139</v>
      </c>
      <c r="D31" s="281" t="e">
        <f>ROUNDUP(D30/D27,0)</f>
        <v>#REF!</v>
      </c>
    </row>
    <row r="32" spans="2:12" ht="14.4" hidden="1">
      <c r="C32" s="271" t="s">
        <v>137</v>
      </c>
      <c r="D32" s="282" t="e">
        <f>D30/D31</f>
        <v>#REF!</v>
      </c>
    </row>
    <row r="33" spans="2:6" ht="14.4" hidden="1">
      <c r="C33" s="271" t="s">
        <v>138</v>
      </c>
      <c r="D33" s="282" t="e">
        <f>IF(D5="y",D32,D32*2.5)</f>
        <v>#REF!</v>
      </c>
    </row>
    <row r="34" spans="2:6" ht="15.75" hidden="1" customHeight="1"/>
    <row r="35" spans="2:6" ht="15.75" customHeight="1"/>
    <row r="36" spans="2:6" ht="15.75" customHeight="1">
      <c r="B36" s="309" t="s">
        <v>243</v>
      </c>
      <c r="C36" s="309" t="s">
        <v>241</v>
      </c>
      <c r="D36" s="309" t="s">
        <v>242</v>
      </c>
    </row>
    <row r="37" spans="2:6" ht="15.75" customHeight="1">
      <c r="B37" s="336"/>
      <c r="C37" s="305">
        <v>0.2</v>
      </c>
      <c r="D37" s="306">
        <v>0.25</v>
      </c>
      <c r="F37" s="34"/>
    </row>
    <row r="38" spans="2:6" ht="15.75" customHeight="1">
      <c r="B38" s="337" t="s">
        <v>244</v>
      </c>
      <c r="C38" s="305">
        <v>0.15</v>
      </c>
      <c r="D38" s="306">
        <v>0.17649999999999999</v>
      </c>
      <c r="F38" s="34"/>
    </row>
    <row r="39" spans="2:6" ht="14.4">
      <c r="B39" s="336"/>
      <c r="C39" s="305">
        <v>0.1</v>
      </c>
      <c r="D39" s="306">
        <v>0.1111</v>
      </c>
      <c r="F39" s="34"/>
    </row>
    <row r="40" spans="2:6" ht="14.4">
      <c r="B40" s="336"/>
      <c r="C40" s="305">
        <v>0.05</v>
      </c>
      <c r="D40" s="306">
        <v>5.2600000000000001E-2</v>
      </c>
    </row>
    <row r="41" spans="2:6" ht="14.4" hidden="1">
      <c r="B41" s="221" t="s">
        <v>245</v>
      </c>
      <c r="C41" s="169">
        <f>LOOKUP("x",B37:B40,C37:C40)</f>
        <v>0.15</v>
      </c>
      <c r="D41" s="9">
        <f>LOOKUP("x",B37:B40,D37:D40)</f>
        <v>0.17649999999999999</v>
      </c>
    </row>
    <row r="42" spans="2:6" ht="15" customHeight="1"/>
    <row r="43" spans="2:6" ht="15" customHeight="1"/>
    <row r="44" spans="2:6" ht="15" customHeight="1"/>
    <row r="45" spans="2:6" ht="15" customHeight="1"/>
    <row r="46" spans="2:6" ht="15" customHeight="1"/>
    <row r="47" spans="2:6" ht="15" customHeight="1"/>
    <row r="48" spans="2:6" ht="15" customHeight="1"/>
    <row r="49" customFormat="1" ht="15" customHeight="1"/>
    <row r="50" customFormat="1" ht="15" customHeight="1"/>
    <row r="51" customFormat="1" ht="15" customHeight="1"/>
    <row r="52" customFormat="1" ht="15" customHeight="1"/>
    <row r="53" customFormat="1" ht="15" customHeight="1"/>
    <row r="54" customFormat="1" ht="15" customHeight="1"/>
    <row r="55" customFormat="1" ht="15" customHeight="1"/>
    <row r="56" customFormat="1" ht="15" customHeight="1"/>
    <row r="57" customFormat="1" ht="15" customHeight="1"/>
    <row r="58" customFormat="1" ht="14.4"/>
    <row r="59" customFormat="1" ht="14.4"/>
    <row r="60" customFormat="1" ht="14.4"/>
    <row r="61" customFormat="1" ht="14.4"/>
    <row r="62" customFormat="1" ht="14.4"/>
    <row r="63" customFormat="1" ht="14.4"/>
    <row r="64" customFormat="1" ht="14.4"/>
    <row r="65" customFormat="1" ht="14.4"/>
    <row r="66" customFormat="1" ht="14.4"/>
    <row r="67" customFormat="1" ht="14.4"/>
    <row r="68" customFormat="1" ht="14.4"/>
    <row r="69" customFormat="1" ht="14.4"/>
    <row r="70" customFormat="1" ht="14.4"/>
    <row r="71" customFormat="1" ht="14.4"/>
    <row r="72" customFormat="1" ht="14.4"/>
    <row r="73" customFormat="1" ht="14.4"/>
    <row r="74" customFormat="1" ht="14.4"/>
    <row r="75" customFormat="1" ht="14.4"/>
    <row r="76" customFormat="1" ht="14.4"/>
    <row r="77" customFormat="1" ht="14.4"/>
    <row r="78" customFormat="1" ht="14.4"/>
    <row r="79" customFormat="1" ht="14.4"/>
    <row r="80" customFormat="1" ht="14.4"/>
    <row r="81" customFormat="1" ht="14.4"/>
    <row r="82" customFormat="1" ht="14.4"/>
    <row r="83" customFormat="1" ht="14.4"/>
    <row r="84" customFormat="1" ht="14.4"/>
    <row r="85" customFormat="1" ht="14.4"/>
    <row r="86" customFormat="1" ht="14.4"/>
    <row r="87" customFormat="1" ht="14.4"/>
    <row r="88" customFormat="1" ht="14.4"/>
    <row r="89" customFormat="1" ht="14.4"/>
    <row r="90" customFormat="1" ht="14.4"/>
    <row r="91" customFormat="1" ht="14.4"/>
    <row r="92" customFormat="1" ht="14.4"/>
    <row r="93" customFormat="1" ht="14.4"/>
    <row r="94" customFormat="1" ht="14.4"/>
    <row r="95" customFormat="1" ht="14.4"/>
    <row r="96" customFormat="1" ht="14.4"/>
    <row r="97" customFormat="1" ht="14.4"/>
    <row r="98" customFormat="1" ht="14.4"/>
    <row r="99" customFormat="1" ht="14.4"/>
    <row r="100" customFormat="1" ht="14.4"/>
    <row r="101" customFormat="1" ht="14.4"/>
    <row r="102" customFormat="1" ht="14.4"/>
    <row r="103" customFormat="1" ht="14.4"/>
    <row r="104" customFormat="1" ht="14.4"/>
    <row r="105" customFormat="1" ht="14.4"/>
    <row r="106" customFormat="1" ht="14.4"/>
    <row r="107" customFormat="1" ht="14.4"/>
    <row r="108" customFormat="1" ht="14.4"/>
    <row r="109" customFormat="1" ht="14.4"/>
    <row r="110" customFormat="1" ht="14.4"/>
    <row r="111" customFormat="1" ht="14.4"/>
    <row r="112" customFormat="1" ht="14.4"/>
    <row r="113" customFormat="1" ht="14.4"/>
    <row r="114" customFormat="1" ht="14.4"/>
    <row r="115" customFormat="1" ht="14.4"/>
    <row r="116" customFormat="1" ht="14.4"/>
    <row r="117" customFormat="1" ht="14.4"/>
    <row r="118" customFormat="1" ht="14.4"/>
    <row r="119" customFormat="1" ht="14.4"/>
    <row r="120" customFormat="1" ht="14.4"/>
    <row r="121" customFormat="1" ht="14.4"/>
    <row r="122" customFormat="1" ht="14.4"/>
    <row r="123" customFormat="1" ht="14.4"/>
    <row r="124" customFormat="1" ht="14.4"/>
    <row r="125" customFormat="1" ht="14.4"/>
    <row r="126" customFormat="1" ht="14.4"/>
    <row r="127" customFormat="1" ht="14.4"/>
    <row r="128" customFormat="1" ht="14.4"/>
    <row r="129" customFormat="1" ht="14.4"/>
    <row r="130" customFormat="1" ht="14.4"/>
    <row r="131" customFormat="1" ht="14.4"/>
    <row r="132" customFormat="1" ht="14.4"/>
    <row r="133" customFormat="1" ht="14.4"/>
    <row r="134" customFormat="1" ht="14.4"/>
    <row r="135" customFormat="1" ht="14.4"/>
    <row r="136" customFormat="1" ht="14.4"/>
    <row r="137" customFormat="1" ht="14.4"/>
    <row r="138" customFormat="1" ht="14.4"/>
    <row r="139" customFormat="1" ht="14.4"/>
    <row r="140" customFormat="1" ht="14.4"/>
    <row r="141" customFormat="1" ht="14.4"/>
    <row r="142" customFormat="1" ht="14.4"/>
    <row r="143" customFormat="1" ht="14.4"/>
    <row r="144" customFormat="1" ht="14.4"/>
    <row r="145" customFormat="1" ht="14.4"/>
    <row r="146" customFormat="1" ht="14.4"/>
    <row r="147" customFormat="1" ht="14.4"/>
    <row r="148" customFormat="1" ht="14.4"/>
    <row r="149" customFormat="1" ht="14.4"/>
    <row r="150" customFormat="1" ht="14.4"/>
    <row r="151" customFormat="1" ht="14.4"/>
    <row r="152" customFormat="1" ht="14.4"/>
    <row r="153" customFormat="1" ht="14.4"/>
    <row r="154" customFormat="1" ht="14.4"/>
    <row r="155" customFormat="1" ht="14.4"/>
    <row r="156" customFormat="1" ht="14.4"/>
    <row r="157" customFormat="1" ht="14.4"/>
    <row r="158" customFormat="1" ht="14.4"/>
    <row r="159" customFormat="1" ht="14.4"/>
    <row r="160" customFormat="1" ht="14.4"/>
    <row r="161" customFormat="1" ht="14.4"/>
    <row r="162" customFormat="1" ht="14.4"/>
    <row r="163" customFormat="1" ht="14.4"/>
    <row r="164" customFormat="1" ht="14.4"/>
    <row r="165" customFormat="1" ht="14.4"/>
    <row r="166" customFormat="1" ht="14.4"/>
    <row r="167" customFormat="1" ht="14.4"/>
    <row r="168" customFormat="1" ht="14.4"/>
    <row r="169" customFormat="1" ht="14.4"/>
    <row r="170" customFormat="1" ht="14.4"/>
    <row r="171" customFormat="1" ht="14.4"/>
    <row r="172" customFormat="1" ht="14.4"/>
    <row r="173" customFormat="1" ht="14.4"/>
    <row r="174" customFormat="1" ht="14.4"/>
    <row r="175" customFormat="1" ht="14.4"/>
    <row r="176" customFormat="1" ht="14.4"/>
    <row r="177" customFormat="1" ht="14.4"/>
    <row r="178" customFormat="1" ht="14.4"/>
    <row r="179" customFormat="1" ht="14.4"/>
    <row r="180" customFormat="1" ht="14.4"/>
    <row r="181" customFormat="1" ht="14.4"/>
    <row r="182" customFormat="1" ht="14.4"/>
    <row r="183" customFormat="1" ht="14.4"/>
    <row r="184" customFormat="1" ht="14.4"/>
    <row r="185" customFormat="1" ht="14.4"/>
    <row r="186" customFormat="1" ht="14.4"/>
    <row r="187" customFormat="1" ht="14.4"/>
    <row r="188" customFormat="1" ht="14.4"/>
    <row r="189" customFormat="1" ht="14.4"/>
    <row r="190" customFormat="1" ht="14.4"/>
    <row r="191" customFormat="1" ht="14.4"/>
    <row r="192" customFormat="1" ht="14.4"/>
    <row r="193" customFormat="1" ht="14.4"/>
    <row r="194" customFormat="1" ht="14.4"/>
    <row r="195" customFormat="1" ht="14.4"/>
    <row r="196" customFormat="1" ht="14.4"/>
    <row r="197" customFormat="1" ht="14.4"/>
    <row r="198" customFormat="1" ht="14.4"/>
    <row r="199" customFormat="1" ht="14.4"/>
    <row r="200" customFormat="1" ht="14.4"/>
    <row r="201" customFormat="1" ht="14.4"/>
    <row r="202" customFormat="1" ht="14.4"/>
    <row r="203" customFormat="1" ht="14.4"/>
    <row r="204" customFormat="1" ht="14.4"/>
    <row r="205" customFormat="1" ht="14.4"/>
    <row r="206" customFormat="1" ht="14.4"/>
    <row r="207" customFormat="1" ht="14.4"/>
    <row r="208" customFormat="1" ht="14.4"/>
    <row r="209" customFormat="1" ht="14.4"/>
    <row r="210" customFormat="1" ht="14.4"/>
    <row r="211" customFormat="1" ht="14.4"/>
    <row r="212" customFormat="1" ht="14.4"/>
    <row r="213" customFormat="1" ht="14.4"/>
    <row r="214" customFormat="1" ht="14.4"/>
    <row r="215" customFormat="1" ht="14.4"/>
    <row r="216" customFormat="1" ht="14.4"/>
    <row r="217" customFormat="1" ht="14.4"/>
    <row r="218" customFormat="1" ht="14.4"/>
    <row r="219" customFormat="1" ht="14.4"/>
    <row r="220" customFormat="1" ht="14.4"/>
    <row r="221" customFormat="1" ht="14.4"/>
    <row r="222" customFormat="1" ht="14.4"/>
    <row r="223" customFormat="1" ht="14.4"/>
    <row r="224" customFormat="1" ht="14.4"/>
    <row r="225" customFormat="1" ht="14.4"/>
    <row r="226" customFormat="1" ht="14.4"/>
    <row r="227" customFormat="1" ht="14.4"/>
    <row r="228" customFormat="1" ht="14.4"/>
    <row r="229" customFormat="1" ht="14.4"/>
    <row r="230" customFormat="1" ht="14.4"/>
    <row r="231" customFormat="1" ht="14.4"/>
    <row r="232" customFormat="1" ht="14.4"/>
    <row r="233" customFormat="1" ht="14.4"/>
    <row r="234" customFormat="1" ht="14.4"/>
    <row r="235" customFormat="1" ht="14.4"/>
    <row r="236" customFormat="1" ht="14.4"/>
    <row r="237" customFormat="1" ht="14.4"/>
    <row r="238" customFormat="1" ht="14.4"/>
    <row r="239" customFormat="1" ht="14.4"/>
    <row r="240" customFormat="1" ht="14.4"/>
    <row r="241" customFormat="1" ht="14.4"/>
    <row r="242" customFormat="1" ht="14.4"/>
    <row r="243" customFormat="1" ht="14.4"/>
    <row r="244" customFormat="1" ht="14.4"/>
    <row r="245" customFormat="1" ht="14.4"/>
    <row r="246" customFormat="1" ht="14.4"/>
    <row r="247" customFormat="1" ht="14.4"/>
    <row r="248" customFormat="1" ht="14.4"/>
    <row r="249" customFormat="1" ht="14.4"/>
    <row r="250" customFormat="1" ht="14.4"/>
    <row r="251" customFormat="1" ht="14.4"/>
    <row r="252" customFormat="1" ht="14.4"/>
    <row r="253" customFormat="1" ht="14.4"/>
    <row r="254" customFormat="1" ht="14.4"/>
    <row r="255" customFormat="1" ht="14.4"/>
    <row r="256" customFormat="1" ht="14.4"/>
    <row r="257" customFormat="1" ht="14.4"/>
    <row r="258" customFormat="1" ht="14.4"/>
    <row r="259" customFormat="1" ht="14.4"/>
    <row r="260" customFormat="1" ht="14.4"/>
    <row r="261" customFormat="1" ht="14.4"/>
    <row r="262" customFormat="1" ht="14.4"/>
    <row r="263" customFormat="1" ht="14.4"/>
    <row r="264" customFormat="1" ht="14.4"/>
    <row r="265" customFormat="1" ht="14.4"/>
    <row r="266" customFormat="1" ht="14.4"/>
    <row r="267" customFormat="1" ht="14.4"/>
    <row r="268" customFormat="1" ht="14.4"/>
    <row r="269" customFormat="1" ht="14.4"/>
    <row r="270" customFormat="1" ht="14.4"/>
    <row r="271" customFormat="1" ht="14.4"/>
    <row r="272" customFormat="1" ht="14.4"/>
    <row r="273" customFormat="1" ht="14.4"/>
    <row r="274" customFormat="1" ht="14.4"/>
    <row r="275" customFormat="1" ht="14.4"/>
    <row r="276" customFormat="1" ht="14.4"/>
    <row r="277" customFormat="1" ht="14.4"/>
    <row r="278" customFormat="1" ht="14.4"/>
    <row r="279" customFormat="1" ht="14.4"/>
    <row r="280" customFormat="1" ht="14.4"/>
    <row r="281" customFormat="1" ht="14.4"/>
    <row r="282" customFormat="1" ht="14.4"/>
    <row r="283" customFormat="1" ht="14.4"/>
    <row r="284" customFormat="1" ht="14.4"/>
    <row r="285" customFormat="1" ht="14.4"/>
    <row r="286" customFormat="1" ht="14.4"/>
    <row r="287" customFormat="1" ht="14.4"/>
    <row r="288" customFormat="1" ht="14.4"/>
    <row r="289" customFormat="1" ht="14.4"/>
    <row r="290" customFormat="1" ht="14.4"/>
    <row r="291" customFormat="1" ht="14.4"/>
    <row r="292" customFormat="1" ht="14.4"/>
    <row r="293" customFormat="1" ht="14.4"/>
    <row r="294" customFormat="1" ht="14.4"/>
    <row r="295" customFormat="1" ht="14.4"/>
    <row r="296" customFormat="1" ht="14.4"/>
    <row r="297" customFormat="1" ht="14.4"/>
    <row r="298" customFormat="1" ht="14.4"/>
    <row r="299" customFormat="1" ht="14.4"/>
    <row r="300" customFormat="1" ht="14.4"/>
    <row r="301" customFormat="1" ht="14.4"/>
    <row r="302" customFormat="1" ht="14.4"/>
    <row r="303" customFormat="1" ht="14.4"/>
    <row r="304" customFormat="1" ht="14.4"/>
    <row r="305" customFormat="1" ht="14.4"/>
    <row r="306" customFormat="1" ht="14.4"/>
    <row r="307" customFormat="1" ht="14.4"/>
    <row r="308" customFormat="1" ht="14.4"/>
    <row r="309" customFormat="1" ht="14.4"/>
    <row r="310" customFormat="1" ht="14.4"/>
    <row r="311" customFormat="1" ht="14.4"/>
    <row r="312" customFormat="1" ht="14.4"/>
    <row r="313" customFormat="1" ht="14.4"/>
    <row r="314" customFormat="1" ht="14.4"/>
    <row r="315" customFormat="1" ht="14.4"/>
    <row r="316" customFormat="1" ht="14.4"/>
    <row r="317" customFormat="1" ht="14.4"/>
    <row r="318" customFormat="1" ht="14.4"/>
    <row r="319" customFormat="1" ht="14.4"/>
    <row r="320" customFormat="1" ht="14.4"/>
    <row r="321" customFormat="1" ht="14.4"/>
    <row r="322" customFormat="1" ht="14.4"/>
    <row r="323" customFormat="1" ht="14.4"/>
    <row r="324" customFormat="1" ht="14.4"/>
    <row r="325" customFormat="1" ht="14.4"/>
    <row r="326" customFormat="1" ht="14.4"/>
    <row r="327" customFormat="1" ht="14.4"/>
    <row r="328" customFormat="1" ht="14.4"/>
    <row r="329" customFormat="1" ht="14.4"/>
    <row r="330" customFormat="1" ht="14.4"/>
    <row r="331" customFormat="1" ht="14.4"/>
    <row r="332" customFormat="1" ht="14.4"/>
    <row r="333" customFormat="1" ht="14.4"/>
    <row r="334" customFormat="1" ht="14.4"/>
    <row r="335" customFormat="1" ht="14.4"/>
    <row r="336" customFormat="1" ht="14.4"/>
    <row r="337" customFormat="1" ht="14.4"/>
    <row r="338" customFormat="1" ht="14.4"/>
    <row r="339" customFormat="1" ht="14.4"/>
    <row r="340" customFormat="1" ht="14.4"/>
    <row r="341" customFormat="1" ht="14.4"/>
    <row r="342" customFormat="1" ht="14.4"/>
    <row r="343" customFormat="1" ht="14.4"/>
    <row r="344" customFormat="1" ht="14.4"/>
    <row r="345" customFormat="1" ht="14.4"/>
    <row r="346" customFormat="1" ht="14.4"/>
    <row r="347" customFormat="1" ht="14.4"/>
    <row r="348" customFormat="1" ht="14.4"/>
    <row r="349" customFormat="1" ht="14.4"/>
    <row r="350" customFormat="1" ht="14.4"/>
    <row r="351" customFormat="1" ht="14.4"/>
    <row r="352" customFormat="1" ht="14.4"/>
    <row r="353" customFormat="1" ht="14.4"/>
    <row r="354" customFormat="1" ht="14.4"/>
    <row r="355" customFormat="1" ht="14.4"/>
    <row r="356" customFormat="1" ht="14.4"/>
    <row r="357" customFormat="1" ht="14.4"/>
    <row r="358" customFormat="1" ht="14.4"/>
    <row r="359" customFormat="1" ht="14.4"/>
    <row r="360" customFormat="1" ht="14.4"/>
    <row r="361" customFormat="1" ht="14.4"/>
    <row r="362" customFormat="1" ht="14.4"/>
    <row r="363" customFormat="1" ht="14.4"/>
    <row r="364" customFormat="1" ht="14.4"/>
    <row r="365" customFormat="1" ht="14.4"/>
    <row r="366" customFormat="1" ht="14.4"/>
    <row r="367" customFormat="1" ht="14.4"/>
    <row r="368" customFormat="1" ht="14.4"/>
    <row r="369" customFormat="1" ht="14.4"/>
    <row r="370" customFormat="1" ht="14.4"/>
    <row r="371" customFormat="1" ht="14.4"/>
    <row r="372" customFormat="1" ht="14.4"/>
    <row r="373" customFormat="1" ht="14.4"/>
    <row r="374" customFormat="1" ht="14.4"/>
    <row r="375" customFormat="1" ht="14.4"/>
    <row r="376" customFormat="1" ht="14.4"/>
    <row r="377" customFormat="1" ht="14.4"/>
    <row r="378" customFormat="1" ht="14.4"/>
    <row r="379" customFormat="1" ht="14.4"/>
    <row r="380" customFormat="1" ht="14.4"/>
    <row r="381" customFormat="1" ht="14.4"/>
    <row r="382" customFormat="1" ht="14.4"/>
    <row r="383" customFormat="1" ht="14.4"/>
    <row r="384" customFormat="1" ht="14.4"/>
    <row r="385" customFormat="1" ht="14.4"/>
    <row r="386" customFormat="1" ht="14.4"/>
    <row r="387" customFormat="1" ht="14.4"/>
    <row r="388" customFormat="1" ht="14.4"/>
    <row r="389" customFormat="1" ht="14.4"/>
    <row r="390" customFormat="1" ht="14.4"/>
    <row r="391" customFormat="1" ht="14.4"/>
    <row r="392" customFormat="1" ht="14.4"/>
    <row r="393" customFormat="1" ht="14.4"/>
    <row r="394" customFormat="1" ht="14.4"/>
    <row r="395" customFormat="1" ht="14.4"/>
    <row r="396" customFormat="1" ht="14.4"/>
    <row r="397" customFormat="1" ht="14.4"/>
    <row r="398" customFormat="1" ht="14.4"/>
    <row r="399" customFormat="1" ht="14.4"/>
    <row r="400" customFormat="1" ht="14.4"/>
    <row r="401" customFormat="1" ht="14.4"/>
    <row r="402" customFormat="1" ht="14.4"/>
    <row r="403" customFormat="1" ht="14.4"/>
    <row r="404" customFormat="1" ht="14.4"/>
    <row r="405" customFormat="1" ht="14.4"/>
    <row r="406" customFormat="1" ht="14.4"/>
    <row r="407" customFormat="1" ht="14.4"/>
    <row r="408" customFormat="1" ht="14.4"/>
    <row r="409" customFormat="1" ht="14.4"/>
    <row r="410" customFormat="1" ht="14.4"/>
    <row r="411" customFormat="1" ht="14.4"/>
    <row r="412" customFormat="1" ht="14.4"/>
    <row r="413" customFormat="1" ht="14.4"/>
    <row r="414" customFormat="1" ht="14.4"/>
    <row r="415" customFormat="1" ht="14.4"/>
    <row r="416" customFormat="1" ht="14.4"/>
    <row r="417" customFormat="1" ht="14.4"/>
    <row r="418" customFormat="1" ht="14.4"/>
    <row r="419" customFormat="1" ht="14.4"/>
    <row r="420" customFormat="1" ht="14.4"/>
    <row r="421" customFormat="1" ht="14.4"/>
    <row r="422" customFormat="1" ht="14.4"/>
    <row r="423" customFormat="1" ht="14.4"/>
    <row r="424" customFormat="1" ht="14.4"/>
    <row r="425" customFormat="1" ht="14.4"/>
    <row r="426" customFormat="1" ht="14.4"/>
    <row r="427" customFormat="1" ht="14.4"/>
    <row r="428" customFormat="1" ht="14.4"/>
    <row r="429" customFormat="1" ht="14.4"/>
    <row r="430" customFormat="1" ht="14.4"/>
    <row r="431" customFormat="1" ht="14.4"/>
    <row r="432" customFormat="1" ht="14.4"/>
    <row r="433" customFormat="1" ht="14.4"/>
    <row r="434" customFormat="1" ht="14.4"/>
    <row r="435" customFormat="1" ht="14.4"/>
    <row r="436" customFormat="1" ht="14.4"/>
    <row r="437" customFormat="1" ht="14.4"/>
    <row r="438" customFormat="1" ht="14.4"/>
    <row r="439" customFormat="1" ht="14.4"/>
    <row r="440" customFormat="1" ht="14.4"/>
    <row r="441" customFormat="1" ht="14.4"/>
    <row r="442" customFormat="1" ht="14.4"/>
    <row r="443" customFormat="1" ht="14.4"/>
    <row r="444" customFormat="1" ht="14.4"/>
    <row r="445" customFormat="1" ht="14.4"/>
    <row r="446" customFormat="1" ht="14.4"/>
    <row r="447" customFormat="1" ht="14.4"/>
    <row r="448" customFormat="1" ht="14.4"/>
    <row r="449" customFormat="1" ht="14.4"/>
    <row r="450" customFormat="1" ht="14.4"/>
    <row r="451" customFormat="1" ht="14.4"/>
    <row r="452" customFormat="1" ht="14.4"/>
    <row r="453" customFormat="1" ht="14.4"/>
    <row r="454" customFormat="1" ht="14.4"/>
    <row r="455" customFormat="1" ht="14.4"/>
    <row r="456" customFormat="1" ht="14.4"/>
    <row r="457" customFormat="1" ht="14.4"/>
    <row r="458" customFormat="1" ht="14.4"/>
    <row r="459" customFormat="1" ht="14.4"/>
    <row r="460" customFormat="1" ht="14.4"/>
    <row r="461" customFormat="1" ht="14.4"/>
    <row r="462" customFormat="1" ht="14.4"/>
    <row r="463" customFormat="1" ht="14.4"/>
    <row r="464" customFormat="1" ht="14.4"/>
    <row r="465" customFormat="1" ht="14.4"/>
    <row r="466" customFormat="1" ht="14.4"/>
    <row r="467" customFormat="1" ht="14.4"/>
    <row r="468" customFormat="1" ht="14.4"/>
    <row r="469" customFormat="1" ht="14.4"/>
    <row r="470" customFormat="1" ht="14.4"/>
    <row r="471" customFormat="1" ht="14.4"/>
    <row r="472" customFormat="1" ht="14.4"/>
    <row r="473" customFormat="1" ht="14.4"/>
    <row r="474" customFormat="1" ht="14.4"/>
    <row r="475" customFormat="1" ht="14.4"/>
    <row r="476" customFormat="1" ht="14.4"/>
    <row r="477" customFormat="1" ht="14.4"/>
    <row r="478" customFormat="1" ht="14.4"/>
    <row r="479" customFormat="1" ht="14.4"/>
    <row r="480" customFormat="1" ht="14.4"/>
    <row r="481" customFormat="1" ht="14.4"/>
    <row r="482" customFormat="1" ht="14.4"/>
    <row r="483" customFormat="1" ht="14.4"/>
    <row r="484" customFormat="1" ht="14.4"/>
    <row r="485" customFormat="1" ht="14.4"/>
    <row r="486" customFormat="1" ht="14.4"/>
    <row r="487" customFormat="1" ht="14.4"/>
    <row r="488" customFormat="1" ht="14.4"/>
    <row r="489" customFormat="1" ht="14.4"/>
    <row r="490" customFormat="1" ht="14.4"/>
    <row r="491" customFormat="1" ht="14.4"/>
    <row r="492" customFormat="1" ht="14.4"/>
    <row r="493" customFormat="1" ht="14.4"/>
    <row r="494" customFormat="1" ht="14.4"/>
    <row r="495" customFormat="1" ht="14.4"/>
    <row r="496" customFormat="1" ht="14.4"/>
    <row r="497" customFormat="1" ht="14.4"/>
    <row r="498" customFormat="1" ht="14.4"/>
    <row r="499" customFormat="1" ht="14.4"/>
    <row r="500" customFormat="1" ht="14.4"/>
    <row r="501" customFormat="1" ht="14.4"/>
    <row r="502" customFormat="1" ht="14.4"/>
    <row r="503" customFormat="1" ht="14.4"/>
    <row r="504" customFormat="1" ht="14.4"/>
    <row r="505" customFormat="1" ht="14.4"/>
    <row r="506" customFormat="1" ht="14.4"/>
    <row r="507" customFormat="1" ht="14.4"/>
    <row r="508" customFormat="1" ht="14.4"/>
    <row r="509" customFormat="1" ht="14.4"/>
    <row r="510" customFormat="1" ht="14.4"/>
    <row r="511" customFormat="1" ht="14.4"/>
    <row r="512" customFormat="1" ht="14.4"/>
    <row r="513" customFormat="1" ht="14.4"/>
    <row r="514" customFormat="1" ht="14.4"/>
    <row r="515" customFormat="1" ht="14.4"/>
    <row r="516" customFormat="1" ht="14.4"/>
    <row r="517" customFormat="1" ht="14.4"/>
    <row r="518" customFormat="1" ht="14.4"/>
    <row r="519" customFormat="1" ht="14.4"/>
    <row r="520" customFormat="1" ht="14.4"/>
    <row r="521" customFormat="1" ht="14.4"/>
    <row r="522" customFormat="1" ht="14.4"/>
    <row r="523" customFormat="1" ht="14.4"/>
    <row r="524" customFormat="1" ht="14.4"/>
    <row r="525" customFormat="1" ht="14.4"/>
    <row r="526" customFormat="1" ht="14.4"/>
    <row r="527" customFormat="1" ht="14.4"/>
    <row r="528" customFormat="1" ht="14.4"/>
    <row r="529" customFormat="1" ht="14.4"/>
    <row r="530" customFormat="1" ht="14.4"/>
    <row r="531" customFormat="1" ht="14.4"/>
    <row r="532" customFormat="1" ht="14.4"/>
    <row r="533" customFormat="1" ht="14.4"/>
    <row r="534" customFormat="1" ht="14.4"/>
    <row r="535" customFormat="1" ht="14.4"/>
    <row r="536" customFormat="1" ht="14.4"/>
    <row r="537" customFormat="1" ht="14.4"/>
    <row r="538" customFormat="1" ht="14.4"/>
    <row r="539" customFormat="1" ht="14.4"/>
    <row r="540" customFormat="1" ht="14.4"/>
    <row r="541" customFormat="1" ht="14.4"/>
    <row r="542" customFormat="1" ht="14.4"/>
    <row r="543" customFormat="1" ht="14.4"/>
    <row r="544" customFormat="1" ht="14.4"/>
    <row r="545" customFormat="1" ht="14.4"/>
    <row r="546" customFormat="1" ht="14.4"/>
    <row r="547" customFormat="1" ht="14.4"/>
    <row r="548" customFormat="1" ht="14.4"/>
    <row r="549" customFormat="1" ht="14.4"/>
    <row r="550" customFormat="1" ht="14.4"/>
    <row r="551" customFormat="1" ht="14.4"/>
    <row r="552" customFormat="1" ht="14.4"/>
    <row r="553" customFormat="1" ht="14.4"/>
    <row r="554" customFormat="1" ht="14.4"/>
    <row r="555" customFormat="1" ht="14.4"/>
    <row r="556" customFormat="1" ht="14.4"/>
    <row r="557" customFormat="1" ht="14.4"/>
    <row r="558" customFormat="1" ht="14.4"/>
    <row r="559" customFormat="1" ht="14.4"/>
    <row r="560" customFormat="1" ht="14.4"/>
    <row r="561" customFormat="1" ht="14.4"/>
    <row r="562" customFormat="1" ht="14.4"/>
    <row r="563" customFormat="1" ht="14.4"/>
    <row r="564" customFormat="1" ht="14.4"/>
    <row r="565" customFormat="1" ht="14.4"/>
    <row r="566" customFormat="1" ht="14.4"/>
    <row r="567" customFormat="1" ht="14.4"/>
    <row r="568" customFormat="1" ht="14.4"/>
    <row r="569" customFormat="1" ht="14.4"/>
    <row r="570" customFormat="1" ht="14.4"/>
    <row r="571" customFormat="1" ht="14.4"/>
    <row r="572" customFormat="1" ht="14.4"/>
    <row r="573" customFormat="1" ht="14.4"/>
    <row r="574" customFormat="1" ht="14.4"/>
    <row r="575" customFormat="1" ht="14.4"/>
    <row r="576" customFormat="1" ht="14.4"/>
    <row r="577" customFormat="1" ht="14.4"/>
    <row r="578" customFormat="1" ht="14.4"/>
    <row r="579" customFormat="1" ht="14.4"/>
    <row r="580" customFormat="1" ht="14.4"/>
    <row r="581" customFormat="1" ht="14.4"/>
    <row r="582" customFormat="1" ht="14.4"/>
    <row r="583" customFormat="1" ht="14.4"/>
    <row r="584" customFormat="1" ht="14.4"/>
    <row r="585" customFormat="1" ht="14.4"/>
    <row r="586" customFormat="1" ht="14.4"/>
    <row r="587" customFormat="1" ht="14.4"/>
    <row r="588" customFormat="1" ht="14.4"/>
    <row r="589" customFormat="1" ht="14.4"/>
    <row r="590" customFormat="1" ht="14.4"/>
    <row r="591" customFormat="1" ht="14.4"/>
    <row r="592" customFormat="1" ht="14.4"/>
    <row r="593" customFormat="1" ht="14.4"/>
    <row r="594" customFormat="1" ht="14.4"/>
    <row r="595" customFormat="1" ht="14.4"/>
    <row r="596" customFormat="1" ht="14.4"/>
    <row r="597" customFormat="1" ht="14.4"/>
    <row r="598" customFormat="1" ht="14.4"/>
    <row r="599" customFormat="1" ht="14.4"/>
    <row r="600" customFormat="1" ht="14.4"/>
    <row r="601" customFormat="1" ht="14.4"/>
    <row r="602" customFormat="1" ht="14.4"/>
    <row r="603" customFormat="1" ht="14.4"/>
    <row r="604" customFormat="1" ht="14.4"/>
    <row r="605" customFormat="1" ht="14.4"/>
    <row r="606" customFormat="1" ht="14.4"/>
    <row r="607" customFormat="1" ht="14.4"/>
    <row r="608" customFormat="1" ht="14.4"/>
    <row r="609" customFormat="1" ht="14.4"/>
    <row r="610" customFormat="1" ht="14.4"/>
    <row r="611" customFormat="1" ht="14.4"/>
    <row r="612" customFormat="1" ht="14.4"/>
    <row r="613" customFormat="1" ht="14.4"/>
    <row r="614" customFormat="1" ht="14.4"/>
    <row r="615" customFormat="1" ht="14.4"/>
    <row r="616" customFormat="1" ht="14.4"/>
    <row r="617" customFormat="1" ht="14.4"/>
    <row r="618" customFormat="1" ht="14.4"/>
    <row r="619" customFormat="1" ht="14.4"/>
    <row r="620" customFormat="1" ht="14.4"/>
    <row r="621" customFormat="1" ht="14.4"/>
    <row r="622" customFormat="1" ht="14.4"/>
    <row r="623" customFormat="1" ht="14.4"/>
    <row r="624" customFormat="1" ht="14.4"/>
    <row r="625" customFormat="1" ht="14.4"/>
    <row r="626" customFormat="1" ht="14.4"/>
    <row r="627" customFormat="1" ht="14.4"/>
    <row r="628" customFormat="1" ht="14.4"/>
    <row r="629" customFormat="1" ht="14.4"/>
    <row r="630" customFormat="1" ht="14.4"/>
    <row r="631" customFormat="1" ht="14.4"/>
    <row r="632" customFormat="1" ht="14.4"/>
    <row r="633" customFormat="1" ht="14.4"/>
    <row r="634" customFormat="1" ht="14.4"/>
    <row r="635" customFormat="1" ht="14.4"/>
    <row r="636" customFormat="1" ht="14.4"/>
    <row r="637" customFormat="1" ht="14.4"/>
    <row r="638" customFormat="1" ht="14.4"/>
    <row r="639" customFormat="1" ht="14.4"/>
    <row r="640" customFormat="1" ht="14.4"/>
    <row r="641" customFormat="1" ht="14.4"/>
    <row r="642" customFormat="1" ht="14.4"/>
    <row r="643" customFormat="1" ht="14.4"/>
    <row r="644" customFormat="1" ht="14.4"/>
    <row r="645" customFormat="1" ht="14.4"/>
    <row r="646" customFormat="1" ht="14.4"/>
    <row r="647" customFormat="1" ht="14.4"/>
    <row r="648" customFormat="1" ht="14.4"/>
    <row r="649" customFormat="1" ht="14.4"/>
    <row r="650" customFormat="1" ht="14.4"/>
    <row r="651" customFormat="1" ht="14.4"/>
    <row r="652" customFormat="1" ht="14.4"/>
    <row r="653" customFormat="1" ht="14.4"/>
    <row r="654" customFormat="1" ht="14.4"/>
    <row r="655" customFormat="1" ht="14.4"/>
    <row r="656" customFormat="1" ht="14.4"/>
    <row r="657" customFormat="1" ht="14.4"/>
    <row r="658" customFormat="1" ht="14.4"/>
    <row r="659" customFormat="1" ht="14.4"/>
    <row r="660" customFormat="1" ht="14.4"/>
    <row r="661" customFormat="1" ht="14.4"/>
    <row r="662" customFormat="1" ht="14.4"/>
    <row r="663" customFormat="1" ht="14.4"/>
    <row r="664" customFormat="1" ht="14.4"/>
    <row r="665" customFormat="1" ht="14.4"/>
    <row r="666" customFormat="1" ht="14.4"/>
    <row r="667" customFormat="1" ht="14.4"/>
    <row r="668" customFormat="1" ht="14.4"/>
    <row r="669" customFormat="1" ht="14.4"/>
    <row r="670" customFormat="1" ht="14.4"/>
    <row r="671" customFormat="1" ht="14.4"/>
    <row r="672" customFormat="1" ht="14.4"/>
    <row r="673" customFormat="1" ht="14.4"/>
    <row r="674" customFormat="1" ht="14.4"/>
    <row r="675" customFormat="1" ht="14.4"/>
    <row r="676" customFormat="1" ht="14.4"/>
    <row r="677" customFormat="1" ht="14.4"/>
    <row r="678" customFormat="1" ht="14.4"/>
    <row r="679" customFormat="1" ht="14.4"/>
    <row r="680" customFormat="1" ht="14.4"/>
    <row r="681" customFormat="1" ht="14.4"/>
    <row r="682" customFormat="1" ht="14.4"/>
    <row r="683" customFormat="1" ht="14.4"/>
    <row r="684" customFormat="1" ht="14.4"/>
    <row r="685" customFormat="1" ht="14.4"/>
    <row r="686" customFormat="1" ht="14.4"/>
    <row r="687" customFormat="1" ht="14.4"/>
    <row r="688" customFormat="1" ht="14.4"/>
    <row r="689" customFormat="1" ht="14.4"/>
    <row r="690" customFormat="1" ht="14.4"/>
    <row r="691" customFormat="1" ht="14.4"/>
    <row r="692" customFormat="1" ht="14.4"/>
    <row r="693" customFormat="1" ht="14.4"/>
    <row r="694" customFormat="1" ht="14.4"/>
    <row r="695" customFormat="1" ht="14.4"/>
    <row r="696" customFormat="1" ht="14.4"/>
    <row r="697" customFormat="1" ht="14.4"/>
    <row r="698" customFormat="1" ht="14.4"/>
    <row r="699" customFormat="1" ht="14.4"/>
    <row r="700" customFormat="1" ht="14.4"/>
    <row r="701" customFormat="1" ht="14.4"/>
    <row r="702" customFormat="1" ht="14.4"/>
    <row r="703" customFormat="1" ht="14.4"/>
    <row r="704" customFormat="1" ht="14.4"/>
    <row r="705" customFormat="1" ht="14.4"/>
    <row r="706" customFormat="1" ht="14.4"/>
    <row r="707" customFormat="1" ht="14.4"/>
    <row r="708" customFormat="1" ht="14.4"/>
    <row r="709" customFormat="1" ht="14.4"/>
    <row r="710" customFormat="1" ht="14.4"/>
    <row r="711" customFormat="1" ht="14.4"/>
    <row r="712" customFormat="1" ht="14.4"/>
    <row r="713" customFormat="1" ht="14.4"/>
    <row r="714" customFormat="1" ht="14.4"/>
    <row r="715" customFormat="1" ht="14.4"/>
    <row r="716" customFormat="1" ht="14.4"/>
    <row r="717" customFormat="1" ht="14.4"/>
    <row r="718" customFormat="1" ht="14.4"/>
    <row r="719" customFormat="1" ht="14.4"/>
    <row r="720" customFormat="1" ht="14.4"/>
    <row r="721" customFormat="1" ht="14.4"/>
    <row r="722" customFormat="1" ht="14.4"/>
    <row r="723" customFormat="1" ht="14.4"/>
    <row r="724" customFormat="1" ht="14.4"/>
    <row r="725" customFormat="1" ht="14.4"/>
    <row r="726" customFormat="1" ht="14.4"/>
    <row r="727" customFormat="1" ht="14.4"/>
    <row r="728" customFormat="1" ht="14.4"/>
    <row r="729" customFormat="1" ht="14.4"/>
    <row r="730" customFormat="1" ht="14.4"/>
    <row r="731" customFormat="1" ht="14.4"/>
    <row r="732" customFormat="1" ht="14.4"/>
    <row r="733" customFormat="1" ht="14.4"/>
    <row r="734" customFormat="1" ht="14.4"/>
    <row r="735" customFormat="1" ht="14.4"/>
    <row r="736" customFormat="1" ht="14.4"/>
    <row r="737" customFormat="1" ht="14.4"/>
    <row r="738" customFormat="1" ht="14.4"/>
    <row r="739" customFormat="1" ht="14.4"/>
    <row r="740" customFormat="1" ht="14.4"/>
    <row r="741" customFormat="1" ht="14.4"/>
    <row r="742" customFormat="1" ht="14.4"/>
    <row r="743" customFormat="1" ht="14.4"/>
    <row r="744" customFormat="1" ht="14.4"/>
    <row r="745" customFormat="1" ht="14.4"/>
    <row r="746" customFormat="1" ht="14.4"/>
    <row r="747" customFormat="1" ht="14.4"/>
    <row r="748" customFormat="1" ht="14.4"/>
    <row r="749" customFormat="1" ht="14.4"/>
    <row r="750" customFormat="1" ht="14.4"/>
    <row r="751" customFormat="1" ht="14.4"/>
    <row r="752" customFormat="1" ht="14.4"/>
    <row r="753" customFormat="1" ht="14.4"/>
    <row r="754" customFormat="1" ht="14.4"/>
    <row r="755" customFormat="1" ht="14.4"/>
    <row r="756" customFormat="1" ht="14.4"/>
    <row r="757" customFormat="1" ht="14.4"/>
    <row r="758" customFormat="1" ht="14.4"/>
    <row r="759" customFormat="1" ht="14.4"/>
    <row r="760" customFormat="1" ht="14.4"/>
    <row r="761" customFormat="1" ht="14.4"/>
    <row r="762" customFormat="1" ht="14.4"/>
    <row r="763" customFormat="1" ht="14.4"/>
    <row r="764" customFormat="1" ht="14.4"/>
    <row r="765" customFormat="1" ht="14.4"/>
    <row r="766" customFormat="1" ht="14.4"/>
    <row r="767" customFormat="1" ht="14.4"/>
    <row r="768" customFormat="1" ht="14.4"/>
    <row r="769" customFormat="1" ht="14.4"/>
    <row r="770" customFormat="1" ht="14.4"/>
    <row r="771" customFormat="1" ht="14.4"/>
    <row r="772" customFormat="1" ht="14.4"/>
    <row r="773" customFormat="1" ht="14.4"/>
    <row r="774" customFormat="1" ht="14.4"/>
    <row r="775" customFormat="1" ht="14.4"/>
    <row r="776" customFormat="1" ht="14.4"/>
    <row r="777" customFormat="1" ht="14.4"/>
    <row r="778" customFormat="1" ht="14.4"/>
    <row r="779" customFormat="1" ht="14.4"/>
    <row r="780" customFormat="1" ht="14.4"/>
    <row r="781" customFormat="1" ht="14.4"/>
    <row r="782" customFormat="1" ht="14.4"/>
    <row r="783" customFormat="1" ht="14.4"/>
    <row r="784" customFormat="1" ht="14.4"/>
    <row r="785" customFormat="1" ht="14.4"/>
    <row r="786" customFormat="1" ht="14.4"/>
    <row r="787" customFormat="1" ht="14.4"/>
    <row r="788" customFormat="1" ht="14.4"/>
    <row r="789" customFormat="1" ht="14.4"/>
    <row r="790" customFormat="1" ht="14.4"/>
    <row r="791" customFormat="1" ht="14.4"/>
    <row r="792" customFormat="1" ht="14.4"/>
    <row r="793" customFormat="1" ht="14.4"/>
    <row r="794" customFormat="1" ht="14.4"/>
    <row r="795" customFormat="1" ht="14.4"/>
    <row r="796" customFormat="1" ht="14.4"/>
    <row r="797" customFormat="1" ht="14.4"/>
    <row r="798" customFormat="1" ht="14.4"/>
    <row r="799" customFormat="1" ht="14.4"/>
    <row r="800" customFormat="1" ht="14.4"/>
    <row r="801" customFormat="1" ht="14.4"/>
    <row r="802" customFormat="1" ht="14.4"/>
    <row r="803" customFormat="1" ht="14.4"/>
    <row r="804" customFormat="1" ht="14.4"/>
    <row r="805" customFormat="1" ht="14.4"/>
    <row r="806" customFormat="1" ht="14.4"/>
    <row r="807" customFormat="1" ht="14.4"/>
    <row r="808" customFormat="1" ht="14.4"/>
    <row r="809" customFormat="1" ht="14.4"/>
    <row r="810" customFormat="1" ht="14.4"/>
    <row r="811" customFormat="1" ht="14.4"/>
    <row r="812" customFormat="1" ht="14.4"/>
    <row r="813" customFormat="1" ht="14.4"/>
    <row r="814" customFormat="1" ht="14.4"/>
    <row r="815" customFormat="1" ht="14.4"/>
    <row r="816" customFormat="1" ht="14.4"/>
    <row r="817" customFormat="1" ht="14.4"/>
    <row r="818" customFormat="1" ht="14.4"/>
    <row r="819" customFormat="1" ht="14.4"/>
    <row r="820" customFormat="1" ht="14.4"/>
    <row r="821" customFormat="1" ht="14.4"/>
    <row r="822" customFormat="1" ht="14.4"/>
    <row r="823" customFormat="1" ht="14.4"/>
    <row r="824" customFormat="1" ht="14.4"/>
    <row r="825" customFormat="1" ht="14.4"/>
    <row r="826" customFormat="1" ht="14.4"/>
    <row r="827" customFormat="1" ht="14.4"/>
    <row r="828" customFormat="1" ht="14.4"/>
    <row r="829" customFormat="1" ht="14.4"/>
    <row r="830" customFormat="1" ht="14.4"/>
    <row r="831" customFormat="1" ht="14.4"/>
    <row r="832" customFormat="1" ht="14.4"/>
    <row r="833" customFormat="1" ht="14.4"/>
    <row r="834" customFormat="1" ht="14.4"/>
    <row r="835" customFormat="1" ht="14.4"/>
    <row r="836" customFormat="1" ht="14.4"/>
    <row r="837" customFormat="1" ht="14.4"/>
    <row r="838" customFormat="1" ht="14.4"/>
    <row r="839" customFormat="1" ht="14.4"/>
    <row r="840" customFormat="1" ht="14.4"/>
    <row r="841" customFormat="1" ht="14.4"/>
    <row r="842" customFormat="1" ht="14.4"/>
    <row r="843" customFormat="1" ht="14.4"/>
    <row r="844" customFormat="1" ht="14.4"/>
    <row r="845" customFormat="1" ht="14.4"/>
    <row r="846" customFormat="1" ht="14.4"/>
    <row r="847" customFormat="1" ht="14.4"/>
    <row r="848" customFormat="1" ht="14.4"/>
    <row r="849" customFormat="1" ht="14.4"/>
    <row r="850" customFormat="1" ht="14.4"/>
    <row r="851" customFormat="1" ht="14.4"/>
    <row r="852" customFormat="1" ht="14.4"/>
    <row r="853" customFormat="1" ht="14.4"/>
    <row r="854" customFormat="1" ht="14.4"/>
    <row r="855" customFormat="1" ht="14.4"/>
    <row r="856" customFormat="1" ht="14.4"/>
    <row r="857" customFormat="1" ht="14.4"/>
    <row r="858" customFormat="1" ht="14.4"/>
    <row r="859" customFormat="1" ht="14.4"/>
    <row r="860" customFormat="1" ht="14.4"/>
    <row r="861" customFormat="1" ht="14.4"/>
    <row r="862" customFormat="1" ht="14.4"/>
    <row r="863" customFormat="1" ht="14.4"/>
    <row r="864" customFormat="1" ht="14.4"/>
    <row r="865" customFormat="1" ht="14.4"/>
    <row r="866" customFormat="1" ht="14.4"/>
    <row r="867" customFormat="1" ht="14.4"/>
    <row r="868" customFormat="1" ht="14.4"/>
    <row r="869" customFormat="1" ht="14.4"/>
    <row r="870" customFormat="1" ht="14.4"/>
    <row r="871" customFormat="1" ht="14.4"/>
    <row r="872" customFormat="1" ht="14.4"/>
    <row r="873" customFormat="1" ht="14.4"/>
    <row r="874" customFormat="1" ht="14.4"/>
    <row r="875" customFormat="1" ht="14.4"/>
    <row r="876" customFormat="1" ht="14.4"/>
    <row r="877" customFormat="1" ht="14.4"/>
    <row r="878" customFormat="1" ht="14.4"/>
    <row r="879" customFormat="1" ht="14.4"/>
    <row r="880" customFormat="1" ht="14.4"/>
    <row r="881" customFormat="1" ht="14.4"/>
    <row r="882" customFormat="1" ht="14.4"/>
    <row r="883" customFormat="1" ht="14.4"/>
    <row r="884" customFormat="1" ht="14.4"/>
    <row r="885" customFormat="1" ht="14.4"/>
    <row r="886" customFormat="1" ht="14.4"/>
    <row r="887" customFormat="1" ht="14.4"/>
    <row r="888" customFormat="1" ht="14.4"/>
    <row r="889" customFormat="1" ht="14.4"/>
    <row r="890" customFormat="1" ht="14.4"/>
    <row r="891" customFormat="1" ht="14.4"/>
    <row r="892" customFormat="1" ht="14.4"/>
    <row r="893" customFormat="1" ht="14.4"/>
    <row r="894" customFormat="1" ht="14.4"/>
    <row r="895" customFormat="1" ht="14.4"/>
    <row r="896" customFormat="1" ht="14.4"/>
    <row r="897" customFormat="1" ht="14.4"/>
    <row r="898" customFormat="1" ht="14.4"/>
    <row r="899" customFormat="1" ht="14.4"/>
    <row r="900" customFormat="1" ht="14.4"/>
    <row r="901" customFormat="1" ht="14.4"/>
    <row r="902" customFormat="1" ht="14.4"/>
    <row r="903" customFormat="1" ht="14.4"/>
    <row r="904" customFormat="1" ht="14.4"/>
    <row r="905" customFormat="1" ht="14.4"/>
    <row r="906" customFormat="1" ht="14.4"/>
    <row r="907" customFormat="1" ht="14.4"/>
    <row r="908" customFormat="1" ht="14.4"/>
    <row r="909" customFormat="1" ht="14.4"/>
    <row r="910" customFormat="1" ht="14.4"/>
    <row r="911" customFormat="1" ht="14.4"/>
    <row r="912" customFormat="1" ht="14.4"/>
    <row r="913" customFormat="1" ht="14.4"/>
    <row r="914" customFormat="1" ht="14.4"/>
    <row r="915" customFormat="1" ht="14.4"/>
    <row r="916" customFormat="1" ht="14.4"/>
    <row r="917" customFormat="1" ht="14.4"/>
    <row r="918" customFormat="1" ht="14.4"/>
    <row r="919" customFormat="1" ht="14.4"/>
    <row r="920" customFormat="1" ht="14.4"/>
    <row r="921" customFormat="1" ht="14.4"/>
    <row r="922" customFormat="1" ht="14.4"/>
    <row r="923" customFormat="1" ht="14.4"/>
    <row r="924" customFormat="1" ht="14.4"/>
    <row r="925" customFormat="1" ht="14.4"/>
    <row r="926" customFormat="1" ht="14.4"/>
    <row r="927" customFormat="1" ht="14.4"/>
    <row r="928" customFormat="1" ht="14.4"/>
    <row r="929" customFormat="1" ht="14.4"/>
    <row r="930" customFormat="1" ht="14.4"/>
    <row r="931" customFormat="1" ht="14.4"/>
    <row r="932" customFormat="1" ht="14.4"/>
    <row r="933" customFormat="1" ht="14.4"/>
    <row r="934" customFormat="1" ht="14.4"/>
    <row r="935" customFormat="1" ht="14.4"/>
    <row r="936" customFormat="1" ht="14.4"/>
    <row r="937" customFormat="1" ht="14.4"/>
    <row r="938" customFormat="1" ht="14.4"/>
    <row r="939" customFormat="1" ht="14.4"/>
    <row r="940" customFormat="1" ht="14.4"/>
    <row r="941" customFormat="1" ht="14.4"/>
    <row r="942" customFormat="1" ht="14.4"/>
    <row r="943" customFormat="1" ht="14.4"/>
    <row r="944" customFormat="1" ht="14.4"/>
    <row r="945" customFormat="1" ht="14.4"/>
    <row r="946" customFormat="1" ht="14.4"/>
    <row r="947" customFormat="1" ht="14.4"/>
    <row r="948" customFormat="1" ht="14.4"/>
    <row r="949" customFormat="1" ht="14.4"/>
    <row r="950" customFormat="1" ht="14.4"/>
    <row r="951" customFormat="1" ht="14.4"/>
    <row r="952" customFormat="1" ht="14.4"/>
    <row r="953" customFormat="1" ht="14.4"/>
    <row r="954" customFormat="1" ht="14.4"/>
    <row r="955" customFormat="1" ht="14.4"/>
    <row r="956" customFormat="1" ht="14.4"/>
    <row r="957" customFormat="1" ht="14.4"/>
    <row r="958" customFormat="1" ht="14.4"/>
    <row r="959" customFormat="1" ht="14.4"/>
    <row r="960" customFormat="1" ht="14.4"/>
    <row r="961" customFormat="1" ht="14.4"/>
    <row r="962" customFormat="1" ht="14.4"/>
    <row r="963" customFormat="1" ht="14.4"/>
    <row r="964" customFormat="1" ht="14.4"/>
    <row r="965" customFormat="1" ht="14.4"/>
    <row r="966" customFormat="1" ht="14.4"/>
    <row r="967" customFormat="1" ht="14.4"/>
    <row r="968" customFormat="1" ht="14.4"/>
    <row r="969" customFormat="1" ht="14.4"/>
    <row r="970" customFormat="1" ht="14.4"/>
    <row r="971" customFormat="1" ht="14.4"/>
    <row r="972" customFormat="1" ht="14.4"/>
    <row r="973" customFormat="1" ht="14.4"/>
    <row r="974" customFormat="1" ht="14.4"/>
    <row r="975" customFormat="1" ht="14.4"/>
    <row r="976" customFormat="1" ht="14.4"/>
    <row r="977" customFormat="1" ht="14.4"/>
    <row r="978" customFormat="1" ht="14.4"/>
    <row r="979" customFormat="1" ht="14.4"/>
    <row r="980" customFormat="1" ht="14.4"/>
    <row r="981" customFormat="1" ht="14.4"/>
    <row r="982" customFormat="1" ht="14.4"/>
    <row r="983" customFormat="1" ht="14.4"/>
    <row r="984" customFormat="1" ht="14.4"/>
    <row r="985" customFormat="1" ht="14.4"/>
    <row r="986" customFormat="1" ht="14.4"/>
    <row r="987" customFormat="1" ht="14.4"/>
    <row r="988" customFormat="1" ht="14.4"/>
    <row r="989" customFormat="1" ht="14.4"/>
    <row r="990" customFormat="1" ht="14.4"/>
    <row r="991" customFormat="1" ht="14.4"/>
    <row r="992" customFormat="1" ht="14.4"/>
    <row r="993" customFormat="1" ht="14.4"/>
    <row r="994" customFormat="1" ht="14.4"/>
    <row r="995" customFormat="1" ht="14.4"/>
    <row r="996" customFormat="1" ht="14.4"/>
    <row r="997" customFormat="1" ht="14.4"/>
    <row r="998" customFormat="1" ht="14.4"/>
    <row r="999" customFormat="1" ht="14.4"/>
    <row r="1000" customFormat="1" ht="14.4"/>
    <row r="1001" customFormat="1" ht="14.4"/>
    <row r="1002" customFormat="1" ht="14.4"/>
    <row r="1003" customFormat="1" ht="14.4"/>
    <row r="1004" customFormat="1" ht="15" customHeight="1"/>
  </sheetData>
  <sheetProtection sheet="1" objects="1" scenarios="1"/>
  <mergeCells count="19">
    <mergeCell ref="J12:J13"/>
    <mergeCell ref="F2:G2"/>
    <mergeCell ref="H2:I2"/>
    <mergeCell ref="F3:G3"/>
    <mergeCell ref="H3:I3"/>
    <mergeCell ref="H4:I4"/>
    <mergeCell ref="F4:G4"/>
    <mergeCell ref="C25:D25"/>
    <mergeCell ref="F16:G16"/>
    <mergeCell ref="F17:G17"/>
    <mergeCell ref="F5:G5"/>
    <mergeCell ref="H5:I5"/>
    <mergeCell ref="F7:G7"/>
    <mergeCell ref="F15:G15"/>
    <mergeCell ref="F11:G11"/>
    <mergeCell ref="F12:G12"/>
    <mergeCell ref="F13:G13"/>
    <mergeCell ref="F8:G8"/>
    <mergeCell ref="F9:G9"/>
  </mergeCells>
  <conditionalFormatting sqref="D5">
    <cfRule type="cellIs" dxfId="54" priority="1" operator="equal">
      <formula>"if($D$4=1)"</formula>
    </cfRule>
  </conditionalFormatting>
  <conditionalFormatting sqref="D19">
    <cfRule type="cellIs" dxfId="53" priority="8" operator="lessThan">
      <formula>$C$41</formula>
    </cfRule>
    <cfRule type="cellIs" dxfId="52" priority="9" operator="equal">
      <formula>$C$41</formula>
    </cfRule>
    <cfRule type="cellIs" dxfId="51" priority="10" operator="greaterThan">
      <formula>$C$41</formula>
    </cfRule>
  </conditionalFormatting>
  <conditionalFormatting sqref="D20">
    <cfRule type="cellIs" dxfId="50" priority="5" operator="lessThan">
      <formula>0</formula>
    </cfRule>
    <cfRule type="cellIs" dxfId="49" priority="6" operator="equal">
      <formula>0</formula>
    </cfRule>
    <cfRule type="cellIs" dxfId="48" priority="7" operator="greaterThan">
      <formula>0</formula>
    </cfRule>
  </conditionalFormatting>
  <conditionalFormatting sqref="D21">
    <cfRule type="cellIs" dxfId="47" priority="44" operator="equal">
      <formula>1</formula>
    </cfRule>
    <cfRule type="cellIs" dxfId="46" priority="45" operator="lessThan">
      <formula>1</formula>
    </cfRule>
    <cfRule type="cellIs" dxfId="45" priority="46" operator="greaterThan">
      <formula>1</formula>
    </cfRule>
  </conditionalFormatting>
  <conditionalFormatting sqref="D22">
    <cfRule type="cellIs" dxfId="44" priority="11" operator="equal">
      <formula>0.1</formula>
    </cfRule>
    <cfRule type="cellIs" dxfId="43" priority="12" operator="lessThan">
      <formula>0.1</formula>
    </cfRule>
    <cfRule type="cellIs" dxfId="42" priority="13" operator="greaterThan">
      <formula>0.1</formula>
    </cfRule>
  </conditionalFormatting>
  <conditionalFormatting sqref="D27">
    <cfRule type="cellIs" dxfId="41" priority="34" operator="lessThan">
      <formula>2</formula>
    </cfRule>
  </conditionalFormatting>
  <conditionalFormatting sqref="D32">
    <cfRule type="cellIs" dxfId="40" priority="36" operator="lessThan">
      <formula>2</formula>
    </cfRule>
    <cfRule type="cellIs" dxfId="39" priority="37" operator="greaterThan">
      <formula>$D$27+0.5</formula>
    </cfRule>
    <cfRule type="cellIs" dxfId="38" priority="38" operator="lessThan">
      <formula>$D$27-0.5</formula>
    </cfRule>
    <cfRule type="cellIs" dxfId="37" priority="39" operator="between">
      <formula>$D$27+0.5</formula>
      <formula>$D$27-0.5</formula>
    </cfRule>
  </conditionalFormatting>
  <conditionalFormatting sqref="J4">
    <cfRule type="cellIs" dxfId="36" priority="2" operator="equal">
      <formula>$J$3*0.1765</formula>
    </cfRule>
    <cfRule type="cellIs" dxfId="35" priority="3" operator="lessThan">
      <formula>$J$3*0.1765</formula>
    </cfRule>
    <cfRule type="cellIs" dxfId="34" priority="4" operator="greaterThan">
      <formula>$J$3*0.1765</formula>
    </cfRule>
  </conditionalFormatting>
  <conditionalFormatting sqref="J5">
    <cfRule type="cellIs" dxfId="33" priority="24" operator="equal">
      <formula>#REF!</formula>
    </cfRule>
    <cfRule type="cellIs" dxfId="32" priority="25" operator="lessThan">
      <formula>#REF!</formula>
    </cfRule>
    <cfRule type="cellIs" dxfId="31" priority="26" operator="greaterThan">
      <formula>#REF!</formula>
    </cfRule>
  </conditionalFormatting>
  <hyperlinks>
    <hyperlink ref="C9" location="'Vehicle Operational Cost'!A1" display="Vehicle Utilization Rate" xr:uid="{00000000-0004-0000-0100-000000000000}"/>
    <hyperlink ref="C8" r:id="rId1" xr:uid="{00000000-0004-0000-0100-000001000000}"/>
  </hyperlinks>
  <pageMargins left="0.7" right="0.7" top="0.75" bottom="0.75" header="0.3" footer="0.3"/>
  <pageSetup orientation="portrait" verticalDpi="300" r:id="rId2"/>
  <ignoredErrors>
    <ignoredError sqref="D27" unlockedFormula="1"/>
    <ignoredError sqref="D29" formula="1"/>
  </ignoredErrors>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promptTitle="Select Grant Type" prompt="CIOT = 1_x000a_IDM = 4_x000a_COMP/CMV = 12" xr:uid="{CA27ACE3-D92E-4EE0-B2A8-C4A71B4B09A5}">
          <x14:formula1>
            <xm:f>Sheet1!$I$27:$I$29</xm:f>
          </x14:formula1>
          <xm:sqref>D4</xm:sqref>
        </x14:dataValidation>
        <x14:dataValidation type="list" allowBlank="1" showInputMessage="1" showErrorMessage="1" promptTitle="Is this a CMV grant?" prompt="Select Y if Yes, Select N if No" xr:uid="{6CAE9516-CFDB-4AD9-B46A-03C4B7132D0B}">
          <x14:formula1>
            <xm:f>Sheet1!$K$27:$K$28</xm:f>
          </x14:formula1>
          <xm:sqref>D5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FBCFD-18AE-4A38-BD8B-69182149E47C}">
  <dimension ref="D2:D4"/>
  <sheetViews>
    <sheetView workbookViewId="0">
      <selection activeCell="L20" sqref="L20"/>
    </sheetView>
  </sheetViews>
  <sheetFormatPr defaultRowHeight="14.4"/>
  <cols>
    <col min="2" max="2" width="14.88671875" customWidth="1"/>
  </cols>
  <sheetData>
    <row r="2" spans="4:4">
      <c r="D2" s="34"/>
    </row>
    <row r="3" spans="4:4">
      <c r="D3" s="208"/>
    </row>
    <row r="4" spans="4:4">
      <c r="D4" s="208"/>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P992"/>
  <sheetViews>
    <sheetView zoomScale="130" zoomScaleNormal="130" workbookViewId="0">
      <selection activeCell="C16" sqref="C16"/>
    </sheetView>
  </sheetViews>
  <sheetFormatPr defaultColWidth="0" defaultRowHeight="15" customHeight="1" zeroHeight="1"/>
  <cols>
    <col min="1" max="1" width="2.5546875" customWidth="1"/>
    <col min="2" max="2" width="10.33203125" customWidth="1"/>
    <col min="3" max="3" width="10.5546875" customWidth="1"/>
    <col min="4" max="4" width="27.44140625" customWidth="1"/>
    <col min="5" max="5" width="15" customWidth="1"/>
    <col min="6" max="6" width="13.33203125" customWidth="1"/>
    <col min="7" max="7" width="12" customWidth="1"/>
    <col min="8" max="8" width="11" customWidth="1"/>
    <col min="9" max="9" width="10.88671875" customWidth="1"/>
    <col min="10" max="10" width="11.33203125" customWidth="1"/>
    <col min="11" max="12" width="13.109375" customWidth="1"/>
    <col min="13" max="13" width="13.5546875" customWidth="1"/>
    <col min="14" max="14" width="13.88671875" customWidth="1"/>
    <col min="15" max="15" width="11.88671875" customWidth="1"/>
    <col min="16" max="16" width="12.6640625" customWidth="1"/>
    <col min="17" max="17" width="14.109375" customWidth="1"/>
    <col min="18" max="18" width="5.6640625" customWidth="1"/>
    <col min="19" max="19" width="8.109375" hidden="1" customWidth="1"/>
    <col min="20" max="20" width="7.5546875" hidden="1" customWidth="1"/>
    <col min="21" max="21" width="10.5546875" hidden="1" customWidth="1"/>
    <col min="22" max="23" width="8.5546875" hidden="1" customWidth="1"/>
    <col min="24" max="24" width="5.6640625" hidden="1" customWidth="1"/>
    <col min="25" max="25" width="13.5546875" hidden="1" customWidth="1"/>
    <col min="26" max="32" width="5.6640625" hidden="1" customWidth="1"/>
    <col min="33" max="33" width="10" hidden="1" customWidth="1"/>
    <col min="34" max="34" width="10.33203125" hidden="1" customWidth="1"/>
    <col min="35" max="35" width="12" hidden="1" customWidth="1"/>
    <col min="36" max="36" width="2.5546875" hidden="1" customWidth="1"/>
    <col min="37" max="41" width="6.109375" hidden="1" customWidth="1"/>
    <col min="42" max="42" width="5.6640625" hidden="1" customWidth="1"/>
    <col min="43" max="16384" width="15.109375" hidden="1"/>
  </cols>
  <sheetData>
    <row r="1" spans="2:42" ht="15" customHeight="1">
      <c r="B1" s="205"/>
      <c r="C1" s="205"/>
    </row>
    <row r="2" spans="2:42" ht="14.4">
      <c r="B2" s="374" t="s">
        <v>142</v>
      </c>
      <c r="C2" s="375"/>
      <c r="E2" s="84"/>
      <c r="F2" s="85"/>
      <c r="G2" s="86"/>
      <c r="H2" s="381" t="s">
        <v>3</v>
      </c>
      <c r="I2" s="382"/>
      <c r="J2" s="383"/>
      <c r="K2" s="381" t="s">
        <v>5</v>
      </c>
      <c r="L2" s="382"/>
      <c r="M2" s="383"/>
      <c r="N2" s="381" t="s">
        <v>6</v>
      </c>
      <c r="O2" s="382"/>
      <c r="P2" s="383"/>
      <c r="Q2" s="34" t="s">
        <v>7</v>
      </c>
      <c r="AG2" s="84"/>
      <c r="AH2" s="84"/>
      <c r="AI2" s="84"/>
    </row>
    <row r="3" spans="2:42" ht="14.4">
      <c r="B3" s="89" t="s">
        <v>141</v>
      </c>
      <c r="C3" s="89" t="s">
        <v>45</v>
      </c>
      <c r="D3" s="87" t="s">
        <v>8</v>
      </c>
      <c r="E3" s="80" t="s">
        <v>171</v>
      </c>
      <c r="F3" s="88" t="s">
        <v>10</v>
      </c>
      <c r="G3" s="89" t="s">
        <v>11</v>
      </c>
      <c r="H3" s="90" t="s">
        <v>12</v>
      </c>
      <c r="I3" s="33" t="s">
        <v>14</v>
      </c>
      <c r="J3" s="91" t="s">
        <v>15</v>
      </c>
      <c r="K3" s="90" t="s">
        <v>16</v>
      </c>
      <c r="L3" s="33" t="s">
        <v>14</v>
      </c>
      <c r="M3" s="91" t="s">
        <v>15</v>
      </c>
      <c r="N3" s="90" t="s">
        <v>12</v>
      </c>
      <c r="O3" s="33" t="s">
        <v>14</v>
      </c>
      <c r="P3" s="91" t="s">
        <v>15</v>
      </c>
      <c r="Q3" s="33" t="s">
        <v>17</v>
      </c>
      <c r="Y3" s="33" t="s">
        <v>70</v>
      </c>
      <c r="Z3" s="33" t="s">
        <v>19</v>
      </c>
      <c r="AA3" t="s">
        <v>20</v>
      </c>
      <c r="AD3" t="s">
        <v>101</v>
      </c>
      <c r="AG3" s="80" t="s">
        <v>21</v>
      </c>
      <c r="AH3" s="80" t="s">
        <v>22</v>
      </c>
      <c r="AI3" s="80" t="s">
        <v>23</v>
      </c>
    </row>
    <row r="4" spans="2:42" ht="14.4">
      <c r="B4" s="83">
        <v>0</v>
      </c>
      <c r="C4" s="83">
        <v>0</v>
      </c>
      <c r="D4" s="87" t="s">
        <v>24</v>
      </c>
      <c r="E4" s="81">
        <v>1</v>
      </c>
      <c r="F4" s="82">
        <v>35</v>
      </c>
      <c r="G4" s="83">
        <v>0.2</v>
      </c>
      <c r="H4" s="38">
        <f t="shared" ref="H4" si="0">J4-I4</f>
        <v>0</v>
      </c>
      <c r="I4" s="38">
        <f>ROUNDUP(J4*B4,0)</f>
        <v>0</v>
      </c>
      <c r="J4" s="92">
        <f>ROUND(Y4*E4,0)</f>
        <v>0</v>
      </c>
      <c r="K4" s="39">
        <f t="shared" ref="K4" si="1">M4-L4</f>
        <v>0</v>
      </c>
      <c r="L4" s="39">
        <f t="shared" ref="L4:L6" si="2">M4*B4</f>
        <v>0</v>
      </c>
      <c r="M4" s="93">
        <f t="shared" ref="M4:M6" si="3">J4*F4</f>
        <v>0</v>
      </c>
      <c r="N4" s="39">
        <f t="shared" ref="N4" si="4">P4-O4</f>
        <v>0</v>
      </c>
      <c r="O4" s="39">
        <f>P4*C4</f>
        <v>0</v>
      </c>
      <c r="P4" s="93">
        <f t="shared" ref="P4:P6" si="5">M4*G4</f>
        <v>0</v>
      </c>
      <c r="Q4" s="39">
        <f t="shared" ref="Q4" si="6">SUM(M4+P4)</f>
        <v>0</v>
      </c>
      <c r="S4">
        <f>E4*F4*(1-B4)</f>
        <v>35</v>
      </c>
      <c r="T4">
        <f>E4*F4*G4*(1-C4)</f>
        <v>7</v>
      </c>
      <c r="Y4" s="40">
        <f>Sheet1!C37</f>
        <v>0</v>
      </c>
      <c r="Z4" s="40"/>
      <c r="AC4">
        <f>F4*J4</f>
        <v>0</v>
      </c>
      <c r="AD4" s="208">
        <f>E39</f>
        <v>0</v>
      </c>
      <c r="AG4" s="209">
        <f>E4*F4</f>
        <v>35</v>
      </c>
      <c r="AH4" s="209">
        <f>(AG4*G4)</f>
        <v>7</v>
      </c>
      <c r="AI4" s="209">
        <f t="shared" ref="AI4:AI6" si="7">AG4+AH4</f>
        <v>42</v>
      </c>
      <c r="AL4">
        <f>G4*E4</f>
        <v>0.2</v>
      </c>
      <c r="AN4" t="s">
        <v>26</v>
      </c>
      <c r="AO4" s="94" t="e">
        <f>AI7+(AI21*#REF!)</f>
        <v>#REF!</v>
      </c>
    </row>
    <row r="5" spans="2:42" ht="14.4">
      <c r="B5" s="83">
        <v>0</v>
      </c>
      <c r="C5" s="83">
        <v>0</v>
      </c>
      <c r="D5" s="8" t="s">
        <v>27</v>
      </c>
      <c r="E5" s="81"/>
      <c r="F5" s="82"/>
      <c r="G5" s="83"/>
      <c r="H5" s="38">
        <f t="shared" ref="H5:H6" si="8">J5-I5</f>
        <v>0</v>
      </c>
      <c r="I5" s="38">
        <f t="shared" ref="I5:I6" si="9">ROUNDUP(J5*B5,0)</f>
        <v>0</v>
      </c>
      <c r="J5" s="92">
        <f>ROUND(Y5*E5,0)</f>
        <v>0</v>
      </c>
      <c r="K5" s="39">
        <f t="shared" ref="K5:K6" si="10">M5-L5</f>
        <v>0</v>
      </c>
      <c r="L5" s="39">
        <f t="shared" si="2"/>
        <v>0</v>
      </c>
      <c r="M5" s="93">
        <f t="shared" si="3"/>
        <v>0</v>
      </c>
      <c r="N5" s="39">
        <f t="shared" ref="N5:N6" si="11">P5-O5</f>
        <v>0</v>
      </c>
      <c r="O5" s="39">
        <f t="shared" ref="O5:O6" si="12">P5*C5</f>
        <v>0</v>
      </c>
      <c r="P5" s="93">
        <f t="shared" si="5"/>
        <v>0</v>
      </c>
      <c r="Q5" s="39">
        <f t="shared" ref="Q5:Q6" si="13">SUM(M5+P5)</f>
        <v>0</v>
      </c>
      <c r="S5">
        <f t="shared" ref="S5:S6" si="14">E5*F5*(1-B5)</f>
        <v>0</v>
      </c>
      <c r="T5">
        <f t="shared" ref="T5:T6" si="15">E5*F5*G5*(1-C5)</f>
        <v>0</v>
      </c>
      <c r="Y5" s="40">
        <f t="shared" ref="Y5" si="16">Y4</f>
        <v>0</v>
      </c>
      <c r="Z5" s="40"/>
      <c r="AC5">
        <f>F5*J5</f>
        <v>0</v>
      </c>
      <c r="AD5" s="208">
        <f>AD4</f>
        <v>0</v>
      </c>
      <c r="AG5" s="95">
        <f>E5*F5</f>
        <v>0</v>
      </c>
      <c r="AH5" s="95">
        <f>(AG5*G5)</f>
        <v>0</v>
      </c>
      <c r="AI5" s="95">
        <f t="shared" si="7"/>
        <v>0</v>
      </c>
      <c r="AL5">
        <f>G5*E5</f>
        <v>0</v>
      </c>
    </row>
    <row r="6" spans="2:42" ht="14.4">
      <c r="B6" s="83">
        <v>0</v>
      </c>
      <c r="C6" s="83">
        <v>0</v>
      </c>
      <c r="D6" s="8" t="s">
        <v>181</v>
      </c>
      <c r="E6" s="81"/>
      <c r="F6" s="82"/>
      <c r="G6" s="83"/>
      <c r="H6" s="38">
        <f t="shared" si="8"/>
        <v>0</v>
      </c>
      <c r="I6" s="38">
        <f t="shared" si="9"/>
        <v>0</v>
      </c>
      <c r="J6" s="92">
        <f>ROUND(Y6*E6,0)</f>
        <v>0</v>
      </c>
      <c r="K6" s="39">
        <f t="shared" si="10"/>
        <v>0</v>
      </c>
      <c r="L6" s="39">
        <f t="shared" si="2"/>
        <v>0</v>
      </c>
      <c r="M6" s="93">
        <f t="shared" si="3"/>
        <v>0</v>
      </c>
      <c r="N6" s="39">
        <f t="shared" si="11"/>
        <v>0</v>
      </c>
      <c r="O6" s="39">
        <f t="shared" si="12"/>
        <v>0</v>
      </c>
      <c r="P6" s="93">
        <f t="shared" si="5"/>
        <v>0</v>
      </c>
      <c r="Q6" s="39">
        <f t="shared" si="13"/>
        <v>0</v>
      </c>
      <c r="S6">
        <f t="shared" si="14"/>
        <v>0</v>
      </c>
      <c r="T6">
        <f t="shared" si="15"/>
        <v>0</v>
      </c>
      <c r="Y6" s="40">
        <f>Y5</f>
        <v>0</v>
      </c>
      <c r="Z6" s="40"/>
      <c r="AC6">
        <f>F6*J6</f>
        <v>0</v>
      </c>
      <c r="AD6" s="208">
        <f>AD5</f>
        <v>0</v>
      </c>
      <c r="AG6" s="95">
        <f>E6*F6</f>
        <v>0</v>
      </c>
      <c r="AH6" s="95">
        <f>(AG6*G6)</f>
        <v>0</v>
      </c>
      <c r="AI6" s="95">
        <f t="shared" si="7"/>
        <v>0</v>
      </c>
      <c r="AL6">
        <f>G6*E6</f>
        <v>0</v>
      </c>
    </row>
    <row r="7" spans="2:42" ht="14.4">
      <c r="B7" s="116"/>
      <c r="C7" s="116"/>
      <c r="D7" s="96" t="s">
        <v>33</v>
      </c>
      <c r="E7" s="97">
        <f>SUM(E4:E6)</f>
        <v>1</v>
      </c>
      <c r="F7" s="98" t="e">
        <f>M7/J7</f>
        <v>#DIV/0!</v>
      </c>
      <c r="G7" s="99">
        <v>0</v>
      </c>
      <c r="H7" s="210">
        <f t="shared" ref="H7:Q7" si="17">SUM(H4:H6)</f>
        <v>0</v>
      </c>
      <c r="I7" s="211">
        <f t="shared" si="17"/>
        <v>0</v>
      </c>
      <c r="J7" s="212">
        <f t="shared" si="17"/>
        <v>0</v>
      </c>
      <c r="K7" s="103">
        <f t="shared" si="17"/>
        <v>0</v>
      </c>
      <c r="L7" s="103">
        <f t="shared" si="17"/>
        <v>0</v>
      </c>
      <c r="M7" s="103">
        <f t="shared" si="17"/>
        <v>0</v>
      </c>
      <c r="N7" s="103">
        <f t="shared" si="17"/>
        <v>0</v>
      </c>
      <c r="O7" s="103">
        <f t="shared" si="17"/>
        <v>0</v>
      </c>
      <c r="P7" s="103">
        <f t="shared" si="17"/>
        <v>0</v>
      </c>
      <c r="Q7" s="103">
        <f t="shared" si="17"/>
        <v>0</v>
      </c>
      <c r="S7" s="103">
        <f>SUM(S4:S6)</f>
        <v>35</v>
      </c>
      <c r="T7" s="103">
        <f>SUM(T4:T6)</f>
        <v>7</v>
      </c>
      <c r="U7" s="94">
        <f>SUM(S7:T7)</f>
        <v>42</v>
      </c>
      <c r="V7" t="e">
        <f>L7/M7</f>
        <v>#DIV/0!</v>
      </c>
      <c r="W7" t="e">
        <f>O7/P7</f>
        <v>#DIV/0!</v>
      </c>
      <c r="AD7" s="208"/>
      <c r="AG7" s="1">
        <f>SUM(AG4:AG6)</f>
        <v>35</v>
      </c>
      <c r="AH7" s="1">
        <f>SUM(AH4:AH6)</f>
        <v>7</v>
      </c>
      <c r="AI7" s="1">
        <f>SUM(AI4:AI6)</f>
        <v>42</v>
      </c>
      <c r="AL7" s="213">
        <f>SUM(AL4:AL6)</f>
        <v>0.2</v>
      </c>
      <c r="AM7" t="e">
        <f>AL7*(1-#REF!)</f>
        <v>#REF!</v>
      </c>
    </row>
    <row r="8" spans="2:42" ht="14.4">
      <c r="B8" s="86"/>
      <c r="C8" s="86"/>
      <c r="E8" s="84"/>
      <c r="F8" s="85"/>
      <c r="G8" s="86"/>
      <c r="O8" s="34"/>
      <c r="P8" s="34"/>
      <c r="Q8" s="34"/>
      <c r="AD8" s="208"/>
      <c r="AG8" s="84"/>
      <c r="AH8" s="84"/>
      <c r="AI8" s="84"/>
    </row>
    <row r="9" spans="2:42" ht="14.4">
      <c r="B9" s="374" t="s">
        <v>161</v>
      </c>
      <c r="C9" s="374"/>
      <c r="E9" s="84"/>
      <c r="F9" s="85"/>
      <c r="G9" s="86"/>
      <c r="H9" s="381" t="s">
        <v>41</v>
      </c>
      <c r="I9" s="384"/>
      <c r="J9" s="385"/>
      <c r="K9" s="381" t="s">
        <v>42</v>
      </c>
      <c r="L9" s="384"/>
      <c r="M9" s="385"/>
      <c r="N9" s="381" t="s">
        <v>43</v>
      </c>
      <c r="O9" s="384"/>
      <c r="P9" s="385"/>
      <c r="Q9" s="35" t="s">
        <v>143</v>
      </c>
      <c r="AD9" s="208"/>
      <c r="AG9" s="84"/>
      <c r="AH9" s="84"/>
      <c r="AI9" s="84"/>
    </row>
    <row r="10" spans="2:42" ht="15.75" customHeight="1">
      <c r="B10" s="89" t="s">
        <v>141</v>
      </c>
      <c r="C10" s="89" t="s">
        <v>45</v>
      </c>
      <c r="D10" s="87" t="s">
        <v>46</v>
      </c>
      <c r="E10" s="80" t="s">
        <v>171</v>
      </c>
      <c r="F10" s="88" t="s">
        <v>10</v>
      </c>
      <c r="G10" s="89" t="s">
        <v>11</v>
      </c>
      <c r="H10" s="90" t="s">
        <v>12</v>
      </c>
      <c r="I10" s="33" t="s">
        <v>14</v>
      </c>
      <c r="J10" s="33" t="s">
        <v>15</v>
      </c>
      <c r="K10" s="90" t="s">
        <v>16</v>
      </c>
      <c r="L10" s="33" t="s">
        <v>14</v>
      </c>
      <c r="M10" s="33" t="s">
        <v>15</v>
      </c>
      <c r="N10" s="90" t="s">
        <v>12</v>
      </c>
      <c r="O10" s="33" t="s">
        <v>14</v>
      </c>
      <c r="P10" s="91" t="s">
        <v>15</v>
      </c>
      <c r="Q10" s="33" t="s">
        <v>17</v>
      </c>
      <c r="AD10" s="208"/>
      <c r="AG10" s="80" t="s">
        <v>21</v>
      </c>
      <c r="AH10" s="80" t="s">
        <v>22</v>
      </c>
      <c r="AI10" s="80" t="s">
        <v>23</v>
      </c>
    </row>
    <row r="11" spans="2:42" ht="14.4" hidden="1">
      <c r="B11" s="206">
        <v>1</v>
      </c>
      <c r="C11" s="214">
        <v>1</v>
      </c>
      <c r="D11" s="215" t="s">
        <v>47</v>
      </c>
      <c r="E11" s="216">
        <v>1</v>
      </c>
      <c r="F11" s="207"/>
      <c r="G11" s="206"/>
      <c r="H11" s="38">
        <f t="shared" ref="H11" si="18">J11-I11</f>
        <v>0</v>
      </c>
      <c r="I11" s="38">
        <f>J11*B11</f>
        <v>0</v>
      </c>
      <c r="J11" s="92">
        <f>Y11*E11</f>
        <v>0</v>
      </c>
      <c r="K11" s="39">
        <f t="shared" ref="K11" si="19">M11-L11</f>
        <v>0</v>
      </c>
      <c r="L11" s="39">
        <f>M11*B11</f>
        <v>0</v>
      </c>
      <c r="M11" s="93">
        <f>J11*F11</f>
        <v>0</v>
      </c>
      <c r="N11" s="39">
        <f t="shared" ref="N11" si="20">P11-O11</f>
        <v>0</v>
      </c>
      <c r="O11" s="39">
        <f>P11*C11</f>
        <v>0</v>
      </c>
      <c r="P11" s="93">
        <f>M11*G11</f>
        <v>0</v>
      </c>
      <c r="Q11" s="39">
        <f t="shared" ref="Q11" si="21">SUM(M11+P11)</f>
        <v>0</v>
      </c>
      <c r="S11">
        <f>E11*F11*(1-B11)</f>
        <v>0</v>
      </c>
      <c r="T11">
        <f>E11*F11*G11*(1-C11)</f>
        <v>0</v>
      </c>
      <c r="Y11" s="217">
        <f>Sheet1!C14</f>
        <v>0</v>
      </c>
      <c r="Z11" s="40"/>
      <c r="AC11">
        <f>F11*J11</f>
        <v>0</v>
      </c>
      <c r="AD11" s="208">
        <f t="shared" ref="AD11:AD20" si="22">AD10</f>
        <v>0</v>
      </c>
      <c r="AG11" s="218">
        <f>E11*F11</f>
        <v>0</v>
      </c>
      <c r="AH11" s="218">
        <f>(AG11*G11)</f>
        <v>0</v>
      </c>
      <c r="AI11" s="219">
        <f t="shared" ref="AI11:AI20" si="23">AG11+AH11</f>
        <v>0</v>
      </c>
      <c r="AJ11" s="220"/>
      <c r="AK11" s="220"/>
      <c r="AL11" s="220">
        <f>G11*E11</f>
        <v>0</v>
      </c>
      <c r="AM11" s="220"/>
      <c r="AN11" s="220"/>
      <c r="AO11" s="220"/>
      <c r="AP11" s="220"/>
    </row>
    <row r="12" spans="2:42" ht="15.75" hidden="1" customHeight="1">
      <c r="B12" s="206">
        <v>1</v>
      </c>
      <c r="C12" s="214">
        <v>1</v>
      </c>
      <c r="D12" s="221" t="s">
        <v>47</v>
      </c>
      <c r="E12" s="216"/>
      <c r="F12" s="207"/>
      <c r="G12" s="206"/>
      <c r="H12" s="38">
        <f t="shared" ref="H12:H20" si="24">J12-I12</f>
        <v>0</v>
      </c>
      <c r="I12" s="38">
        <f>J12*B12</f>
        <v>0</v>
      </c>
      <c r="J12" s="92">
        <f>Y12*E12</f>
        <v>0</v>
      </c>
      <c r="K12" s="39">
        <f t="shared" ref="K12:K20" si="25">M12-L12</f>
        <v>0</v>
      </c>
      <c r="L12" s="39">
        <f>M12*B12</f>
        <v>0</v>
      </c>
      <c r="M12" s="93">
        <f>J12*F12</f>
        <v>0</v>
      </c>
      <c r="N12" s="39">
        <f t="shared" ref="N12:N20" si="26">P12-O12</f>
        <v>0</v>
      </c>
      <c r="O12" s="39">
        <f t="shared" ref="O12:O20" si="27">P12*C12</f>
        <v>0</v>
      </c>
      <c r="P12" s="93">
        <f>M12*G12</f>
        <v>0</v>
      </c>
      <c r="Q12" s="39">
        <f t="shared" ref="Q12:Q20" si="28">SUM(M12+P12)</f>
        <v>0</v>
      </c>
      <c r="S12">
        <f t="shared" ref="S12:S16" si="29">E12*F12*(1-B12)</f>
        <v>0</v>
      </c>
      <c r="T12">
        <f t="shared" ref="T12:T16" si="30">E12*F12*G12*(1-C12)</f>
        <v>0</v>
      </c>
      <c r="Y12" s="222">
        <f t="shared" ref="Y12:Y13" si="31">Y11</f>
        <v>0</v>
      </c>
      <c r="Z12" s="40"/>
      <c r="AC12">
        <f>F12*J12</f>
        <v>0</v>
      </c>
      <c r="AD12" s="208">
        <f>AD11</f>
        <v>0</v>
      </c>
      <c r="AG12" s="223">
        <f>E12*F12</f>
        <v>0</v>
      </c>
      <c r="AH12" s="223">
        <f>(AG12*G12)</f>
        <v>0</v>
      </c>
      <c r="AI12" s="224">
        <f t="shared" si="23"/>
        <v>0</v>
      </c>
      <c r="AJ12" s="225"/>
      <c r="AK12" s="225"/>
      <c r="AL12" s="225">
        <f>G12*E12</f>
        <v>0</v>
      </c>
      <c r="AM12" s="225"/>
      <c r="AN12" s="225"/>
      <c r="AO12" s="225"/>
      <c r="AP12" s="225"/>
    </row>
    <row r="13" spans="2:42" ht="14.4" hidden="1">
      <c r="B13" s="206">
        <v>1</v>
      </c>
      <c r="C13" s="214">
        <v>1</v>
      </c>
      <c r="D13" s="221" t="s">
        <v>47</v>
      </c>
      <c r="E13" s="226"/>
      <c r="F13" s="227"/>
      <c r="G13" s="206"/>
      <c r="H13" s="38">
        <f t="shared" si="24"/>
        <v>0</v>
      </c>
      <c r="I13" s="38">
        <f>J13*B13</f>
        <v>0</v>
      </c>
      <c r="J13" s="92">
        <f>Y13*E13</f>
        <v>0</v>
      </c>
      <c r="K13" s="39">
        <f t="shared" si="25"/>
        <v>0</v>
      </c>
      <c r="L13" s="39">
        <f>M13*B13</f>
        <v>0</v>
      </c>
      <c r="M13" s="93">
        <f>J13*F13</f>
        <v>0</v>
      </c>
      <c r="N13" s="39">
        <f t="shared" si="26"/>
        <v>0</v>
      </c>
      <c r="O13" s="39">
        <f t="shared" si="27"/>
        <v>0</v>
      </c>
      <c r="P13" s="93">
        <f>M13*G13</f>
        <v>0</v>
      </c>
      <c r="Q13" s="39">
        <f t="shared" si="28"/>
        <v>0</v>
      </c>
      <c r="S13">
        <f t="shared" si="29"/>
        <v>0</v>
      </c>
      <c r="T13">
        <f t="shared" si="30"/>
        <v>0</v>
      </c>
      <c r="Y13" s="40">
        <f t="shared" si="31"/>
        <v>0</v>
      </c>
      <c r="Z13" s="40"/>
      <c r="AC13">
        <f>F13*J13</f>
        <v>0</v>
      </c>
      <c r="AD13" s="208">
        <f>AD12</f>
        <v>0</v>
      </c>
      <c r="AG13" s="95">
        <f>E13*F13</f>
        <v>0</v>
      </c>
      <c r="AH13" s="95">
        <f>(AG13*G13)</f>
        <v>0</v>
      </c>
      <c r="AI13" s="95">
        <f t="shared" si="23"/>
        <v>0</v>
      </c>
      <c r="AL13">
        <f>G13*E13</f>
        <v>0</v>
      </c>
    </row>
    <row r="14" spans="2:42" ht="14.4" hidden="1">
      <c r="B14" s="228"/>
      <c r="C14" s="228"/>
      <c r="D14" s="229"/>
      <c r="E14" s="97">
        <f>SUM(E11:E13)</f>
        <v>1</v>
      </c>
      <c r="F14" s="98">
        <f>AG14/E14</f>
        <v>0</v>
      </c>
      <c r="G14" s="99">
        <f>AL14/E14</f>
        <v>0</v>
      </c>
      <c r="H14" s="230">
        <f>SUM(H11:H13)</f>
        <v>0</v>
      </c>
      <c r="I14" s="230">
        <f t="shared" ref="I14:Q14" si="32">SUM(I11:I13)</f>
        <v>0</v>
      </c>
      <c r="J14" s="230">
        <f t="shared" si="32"/>
        <v>0</v>
      </c>
      <c r="K14" s="117">
        <f t="shared" si="32"/>
        <v>0</v>
      </c>
      <c r="L14" s="117">
        <f t="shared" si="32"/>
        <v>0</v>
      </c>
      <c r="M14" s="117">
        <f t="shared" si="32"/>
        <v>0</v>
      </c>
      <c r="N14" s="117">
        <f t="shared" si="32"/>
        <v>0</v>
      </c>
      <c r="O14" s="117">
        <f t="shared" si="32"/>
        <v>0</v>
      </c>
      <c r="P14" s="117">
        <f t="shared" si="32"/>
        <v>0</v>
      </c>
      <c r="Q14" s="117">
        <f t="shared" si="32"/>
        <v>0</v>
      </c>
      <c r="S14" s="231">
        <f>SUM(S11:S13)</f>
        <v>0</v>
      </c>
      <c r="T14" s="231">
        <f>SUM(T11:T13)</f>
        <v>0</v>
      </c>
      <c r="U14" s="94">
        <f>SUM(S14:T14)</f>
        <v>0</v>
      </c>
      <c r="Y14" s="40"/>
      <c r="Z14" s="40"/>
      <c r="AD14" s="208"/>
      <c r="AG14" s="95">
        <f>SUM(AG11:AG13)</f>
        <v>0</v>
      </c>
      <c r="AH14" s="95">
        <f t="shared" ref="AH14:AI14" si="33">SUM(AH11:AH13)</f>
        <v>0</v>
      </c>
      <c r="AI14" s="95">
        <f t="shared" si="33"/>
        <v>0</v>
      </c>
      <c r="AL14" s="118">
        <f t="shared" ref="AL14" si="34">SUM(AL11:AL13)</f>
        <v>0</v>
      </c>
    </row>
    <row r="15" spans="2:42" ht="14.4">
      <c r="B15" s="83">
        <v>1</v>
      </c>
      <c r="C15" s="83">
        <v>1</v>
      </c>
      <c r="D15" s="8" t="s">
        <v>199</v>
      </c>
      <c r="E15" s="81"/>
      <c r="F15" s="82"/>
      <c r="G15" s="83"/>
      <c r="H15" s="38">
        <f t="shared" ref="H15" si="35">J15-I15</f>
        <v>0</v>
      </c>
      <c r="I15" s="38">
        <f t="shared" ref="I15" si="36">ROUNDUP(J15*B15,0)</f>
        <v>0</v>
      </c>
      <c r="J15" s="92">
        <f>ROUND(Y15*E15,0)</f>
        <v>0</v>
      </c>
      <c r="K15" s="39">
        <f t="shared" si="25"/>
        <v>0</v>
      </c>
      <c r="L15" s="39">
        <f t="shared" ref="L15:L20" si="37">M15*B15</f>
        <v>0</v>
      </c>
      <c r="M15" s="93">
        <f t="shared" ref="M15:M20" si="38">J15*F15</f>
        <v>0</v>
      </c>
      <c r="N15" s="39">
        <f t="shared" si="26"/>
        <v>0</v>
      </c>
      <c r="O15" s="39">
        <f t="shared" si="27"/>
        <v>0</v>
      </c>
      <c r="P15" s="93">
        <f t="shared" ref="P15:P20" si="39">M15*G15</f>
        <v>0</v>
      </c>
      <c r="Q15" s="39">
        <f t="shared" si="28"/>
        <v>0</v>
      </c>
      <c r="S15">
        <f t="shared" si="29"/>
        <v>0</v>
      </c>
      <c r="T15">
        <f t="shared" si="30"/>
        <v>0</v>
      </c>
      <c r="Y15" s="40">
        <f>Sheet1!C21</f>
        <v>0</v>
      </c>
      <c r="Z15" s="40"/>
      <c r="AC15">
        <f t="shared" ref="AC15:AC20" si="40">F15*J15</f>
        <v>0</v>
      </c>
      <c r="AD15" s="208">
        <f>AD14</f>
        <v>0</v>
      </c>
      <c r="AG15" s="95">
        <f t="shared" ref="AG15:AG20" si="41">E15*F15</f>
        <v>0</v>
      </c>
      <c r="AH15" s="95">
        <f t="shared" ref="AH15:AH20" si="42">(AG15*G15)</f>
        <v>0</v>
      </c>
      <c r="AI15" s="95">
        <f t="shared" si="23"/>
        <v>0</v>
      </c>
      <c r="AL15">
        <f t="shared" ref="AL15:AL20" si="43">G15*E15</f>
        <v>0</v>
      </c>
    </row>
    <row r="16" spans="2:42" ht="14.4">
      <c r="B16" s="83">
        <v>1</v>
      </c>
      <c r="C16" s="83">
        <v>1</v>
      </c>
      <c r="D16" s="8" t="s">
        <v>27</v>
      </c>
      <c r="E16" s="81"/>
      <c r="F16" s="82"/>
      <c r="G16" s="83"/>
      <c r="H16" s="38">
        <f t="shared" si="24"/>
        <v>0</v>
      </c>
      <c r="I16" s="38">
        <f t="shared" ref="I16:I20" si="44">J16*B16</f>
        <v>0</v>
      </c>
      <c r="J16" s="92">
        <f t="shared" ref="J16:J20" si="45">ROUND(Y16*E16,0)</f>
        <v>0</v>
      </c>
      <c r="K16" s="39">
        <f t="shared" si="25"/>
        <v>0</v>
      </c>
      <c r="L16" s="39">
        <f t="shared" si="37"/>
        <v>0</v>
      </c>
      <c r="M16" s="93">
        <f t="shared" si="38"/>
        <v>0</v>
      </c>
      <c r="N16" s="39">
        <f t="shared" si="26"/>
        <v>0</v>
      </c>
      <c r="O16" s="39">
        <f t="shared" si="27"/>
        <v>0</v>
      </c>
      <c r="P16" s="93">
        <f t="shared" si="39"/>
        <v>0</v>
      </c>
      <c r="Q16" s="39">
        <f t="shared" si="28"/>
        <v>0</v>
      </c>
      <c r="S16">
        <f t="shared" si="29"/>
        <v>0</v>
      </c>
      <c r="T16">
        <f t="shared" si="30"/>
        <v>0</v>
      </c>
      <c r="Y16" s="40">
        <f t="shared" ref="Y16" si="46">Y15</f>
        <v>0</v>
      </c>
      <c r="Z16" s="40"/>
      <c r="AC16">
        <f t="shared" si="40"/>
        <v>0</v>
      </c>
      <c r="AD16" s="208">
        <f t="shared" si="22"/>
        <v>0</v>
      </c>
      <c r="AG16" s="95">
        <f t="shared" si="41"/>
        <v>0</v>
      </c>
      <c r="AH16" s="95">
        <f t="shared" si="42"/>
        <v>0</v>
      </c>
      <c r="AI16" s="95">
        <f t="shared" si="23"/>
        <v>0</v>
      </c>
      <c r="AL16">
        <f t="shared" si="43"/>
        <v>0</v>
      </c>
    </row>
    <row r="17" spans="2:39" ht="14.4">
      <c r="B17" s="83">
        <v>1</v>
      </c>
      <c r="C17" s="83">
        <v>1</v>
      </c>
      <c r="D17" s="8" t="s">
        <v>200</v>
      </c>
      <c r="E17" s="81"/>
      <c r="F17" s="82"/>
      <c r="G17" s="83"/>
      <c r="H17" s="38">
        <f t="shared" si="24"/>
        <v>0</v>
      </c>
      <c r="I17" s="38">
        <f t="shared" si="44"/>
        <v>0</v>
      </c>
      <c r="J17" s="92">
        <f t="shared" si="45"/>
        <v>0</v>
      </c>
      <c r="K17" s="39">
        <f t="shared" si="25"/>
        <v>0</v>
      </c>
      <c r="L17" s="39">
        <f t="shared" si="37"/>
        <v>0</v>
      </c>
      <c r="M17" s="93">
        <f t="shared" si="38"/>
        <v>0</v>
      </c>
      <c r="N17" s="39">
        <f t="shared" si="26"/>
        <v>0</v>
      </c>
      <c r="O17" s="39">
        <f t="shared" si="27"/>
        <v>0</v>
      </c>
      <c r="P17" s="93">
        <f t="shared" si="39"/>
        <v>0</v>
      </c>
      <c r="Q17" s="39">
        <f t="shared" si="28"/>
        <v>0</v>
      </c>
      <c r="S17">
        <f>E17*F17*(1-B17)</f>
        <v>0</v>
      </c>
      <c r="T17">
        <f>E17*F17*G17*(1-C17)</f>
        <v>0</v>
      </c>
      <c r="Y17" s="40">
        <f t="shared" ref="Y17" si="47">Y16</f>
        <v>0</v>
      </c>
      <c r="Z17" s="40"/>
      <c r="AC17">
        <f t="shared" si="40"/>
        <v>0</v>
      </c>
      <c r="AD17" s="208">
        <f t="shared" si="22"/>
        <v>0</v>
      </c>
      <c r="AG17" s="95">
        <f t="shared" si="41"/>
        <v>0</v>
      </c>
      <c r="AH17" s="95">
        <f t="shared" si="42"/>
        <v>0</v>
      </c>
      <c r="AI17" s="95">
        <f t="shared" si="23"/>
        <v>0</v>
      </c>
      <c r="AL17">
        <f t="shared" si="43"/>
        <v>0</v>
      </c>
    </row>
    <row r="18" spans="2:39" ht="14.4">
      <c r="B18" s="83">
        <v>1</v>
      </c>
      <c r="C18" s="83">
        <v>1</v>
      </c>
      <c r="D18" s="8" t="s">
        <v>201</v>
      </c>
      <c r="E18" s="81"/>
      <c r="F18" s="82"/>
      <c r="G18" s="83"/>
      <c r="H18" s="38">
        <f t="shared" si="24"/>
        <v>0</v>
      </c>
      <c r="I18" s="38">
        <f t="shared" si="44"/>
        <v>0</v>
      </c>
      <c r="J18" s="92">
        <f t="shared" si="45"/>
        <v>0</v>
      </c>
      <c r="K18" s="39">
        <f t="shared" si="25"/>
        <v>0</v>
      </c>
      <c r="L18" s="39">
        <f t="shared" si="37"/>
        <v>0</v>
      </c>
      <c r="M18" s="93">
        <f t="shared" si="38"/>
        <v>0</v>
      </c>
      <c r="N18" s="39">
        <f t="shared" si="26"/>
        <v>0</v>
      </c>
      <c r="O18" s="39">
        <f t="shared" si="27"/>
        <v>0</v>
      </c>
      <c r="P18" s="93">
        <f t="shared" si="39"/>
        <v>0</v>
      </c>
      <c r="Q18" s="39">
        <f t="shared" si="28"/>
        <v>0</v>
      </c>
      <c r="S18">
        <f t="shared" ref="S18:S20" si="48">E18*F18*(1-B18)</f>
        <v>0</v>
      </c>
      <c r="T18">
        <f t="shared" ref="T18:T20" si="49">E18*F18*G18*(1-C18)</f>
        <v>0</v>
      </c>
      <c r="Y18" s="40">
        <f t="shared" ref="Y18" si="50">Y17</f>
        <v>0</v>
      </c>
      <c r="Z18" s="40"/>
      <c r="AC18">
        <f t="shared" si="40"/>
        <v>0</v>
      </c>
      <c r="AD18" s="208">
        <f t="shared" si="22"/>
        <v>0</v>
      </c>
      <c r="AG18" s="95">
        <f t="shared" si="41"/>
        <v>0</v>
      </c>
      <c r="AH18" s="95">
        <f t="shared" si="42"/>
        <v>0</v>
      </c>
      <c r="AI18" s="95">
        <f t="shared" si="23"/>
        <v>0</v>
      </c>
      <c r="AL18">
        <f t="shared" si="43"/>
        <v>0</v>
      </c>
    </row>
    <row r="19" spans="2:39" ht="14.4">
      <c r="B19" s="83">
        <v>1</v>
      </c>
      <c r="C19" s="83">
        <v>1</v>
      </c>
      <c r="D19" s="8" t="s">
        <v>28</v>
      </c>
      <c r="E19" s="81"/>
      <c r="F19" s="82"/>
      <c r="G19" s="83"/>
      <c r="H19" s="38">
        <f t="shared" si="24"/>
        <v>0</v>
      </c>
      <c r="I19" s="38">
        <f t="shared" si="44"/>
        <v>0</v>
      </c>
      <c r="J19" s="92">
        <f t="shared" si="45"/>
        <v>0</v>
      </c>
      <c r="K19" s="39">
        <f t="shared" si="25"/>
        <v>0</v>
      </c>
      <c r="L19" s="39">
        <f t="shared" si="37"/>
        <v>0</v>
      </c>
      <c r="M19" s="93">
        <f t="shared" si="38"/>
        <v>0</v>
      </c>
      <c r="N19" s="39">
        <f t="shared" si="26"/>
        <v>0</v>
      </c>
      <c r="O19" s="39">
        <f t="shared" si="27"/>
        <v>0</v>
      </c>
      <c r="P19" s="93">
        <f t="shared" si="39"/>
        <v>0</v>
      </c>
      <c r="Q19" s="39">
        <f t="shared" si="28"/>
        <v>0</v>
      </c>
      <c r="S19">
        <f t="shared" si="48"/>
        <v>0</v>
      </c>
      <c r="T19">
        <f t="shared" si="49"/>
        <v>0</v>
      </c>
      <c r="Y19" s="40">
        <f t="shared" ref="Y19" si="51">Y18</f>
        <v>0</v>
      </c>
      <c r="Z19" s="40"/>
      <c r="AC19">
        <f t="shared" si="40"/>
        <v>0</v>
      </c>
      <c r="AD19" s="208">
        <f t="shared" si="22"/>
        <v>0</v>
      </c>
      <c r="AG19" s="95">
        <f t="shared" si="41"/>
        <v>0</v>
      </c>
      <c r="AH19" s="95">
        <f t="shared" si="42"/>
        <v>0</v>
      </c>
      <c r="AI19" s="95">
        <f t="shared" si="23"/>
        <v>0</v>
      </c>
      <c r="AL19">
        <f t="shared" si="43"/>
        <v>0</v>
      </c>
    </row>
    <row r="20" spans="2:39" ht="14.4" hidden="1">
      <c r="B20" s="83">
        <v>1</v>
      </c>
      <c r="C20" s="83">
        <v>1</v>
      </c>
      <c r="D20" s="8"/>
      <c r="E20" s="342">
        <v>1.0000000000000001E-5</v>
      </c>
      <c r="F20" s="82">
        <v>1E-4</v>
      </c>
      <c r="G20" s="83">
        <v>1E-3</v>
      </c>
      <c r="H20" s="38">
        <f t="shared" si="24"/>
        <v>0</v>
      </c>
      <c r="I20" s="38">
        <f t="shared" si="44"/>
        <v>0</v>
      </c>
      <c r="J20" s="92">
        <f t="shared" si="45"/>
        <v>0</v>
      </c>
      <c r="K20" s="39">
        <f t="shared" si="25"/>
        <v>0</v>
      </c>
      <c r="L20" s="39">
        <f t="shared" si="37"/>
        <v>0</v>
      </c>
      <c r="M20" s="93">
        <f t="shared" si="38"/>
        <v>0</v>
      </c>
      <c r="N20" s="39">
        <f t="shared" si="26"/>
        <v>0</v>
      </c>
      <c r="O20" s="39">
        <f t="shared" si="27"/>
        <v>0</v>
      </c>
      <c r="P20" s="93">
        <f t="shared" si="39"/>
        <v>0</v>
      </c>
      <c r="Q20" s="39">
        <f t="shared" si="28"/>
        <v>0</v>
      </c>
      <c r="S20">
        <f t="shared" si="48"/>
        <v>0</v>
      </c>
      <c r="T20">
        <f t="shared" si="49"/>
        <v>0</v>
      </c>
      <c r="Y20" s="40">
        <f t="shared" ref="Y20" si="52">Y19</f>
        <v>0</v>
      </c>
      <c r="Z20" s="40"/>
      <c r="AC20">
        <f t="shared" si="40"/>
        <v>0</v>
      </c>
      <c r="AD20" s="208">
        <f t="shared" si="22"/>
        <v>0</v>
      </c>
      <c r="AG20" s="95">
        <f t="shared" si="41"/>
        <v>1.0000000000000001E-9</v>
      </c>
      <c r="AH20" s="95">
        <f t="shared" si="42"/>
        <v>1.0000000000000002E-12</v>
      </c>
      <c r="AI20" s="95">
        <f t="shared" si="23"/>
        <v>1.0010000000000002E-9</v>
      </c>
      <c r="AL20">
        <f t="shared" si="43"/>
        <v>1E-8</v>
      </c>
    </row>
    <row r="21" spans="2:39" ht="14.4">
      <c r="B21" s="6"/>
      <c r="C21" s="6"/>
      <c r="D21" s="96"/>
      <c r="E21" s="97">
        <f>SUM(E15:E20)</f>
        <v>1.0000000000000001E-5</v>
      </c>
      <c r="F21" s="98">
        <f>AG21/E21</f>
        <v>1E-4</v>
      </c>
      <c r="G21" s="99">
        <f>AL21/E21</f>
        <v>1E-3</v>
      </c>
      <c r="H21" s="104">
        <f t="shared" ref="H21:Q21" si="53">SUM(H15:H20)</f>
        <v>0</v>
      </c>
      <c r="I21" s="104">
        <f t="shared" si="53"/>
        <v>0</v>
      </c>
      <c r="J21" s="104">
        <f t="shared" si="53"/>
        <v>0</v>
      </c>
      <c r="K21" s="311">
        <f t="shared" si="53"/>
        <v>0</v>
      </c>
      <c r="L21" s="103">
        <f t="shared" si="53"/>
        <v>0</v>
      </c>
      <c r="M21" s="117">
        <f t="shared" si="53"/>
        <v>0</v>
      </c>
      <c r="N21" s="311">
        <f t="shared" si="53"/>
        <v>0</v>
      </c>
      <c r="O21" s="103">
        <f t="shared" si="53"/>
        <v>0</v>
      </c>
      <c r="P21" s="103">
        <f t="shared" si="53"/>
        <v>0</v>
      </c>
      <c r="Q21" s="103">
        <f t="shared" si="53"/>
        <v>0</v>
      </c>
      <c r="S21" s="103">
        <f>SUM(S15:S20)</f>
        <v>0</v>
      </c>
      <c r="T21" s="103">
        <f>SUM(T15:T20)</f>
        <v>0</v>
      </c>
      <c r="U21" s="94">
        <f>SUM(S21:T21)</f>
        <v>0</v>
      </c>
      <c r="AG21" s="1">
        <f>SUM(AG15:AG20)</f>
        <v>1.0000000000000001E-9</v>
      </c>
      <c r="AH21" s="1">
        <f>SUM(AH15:AH20)</f>
        <v>1.0000000000000002E-12</v>
      </c>
      <c r="AI21" s="1">
        <f>SUM(AI15:AI20)</f>
        <v>1.0010000000000002E-9</v>
      </c>
      <c r="AL21" s="213">
        <f>SUM(AL15:AL20)</f>
        <v>1E-8</v>
      </c>
      <c r="AM21" t="e">
        <f>AL21*#REF!</f>
        <v>#REF!</v>
      </c>
    </row>
    <row r="22" spans="2:39" ht="15.75" customHeight="1" thickBot="1">
      <c r="B22" s="86"/>
      <c r="C22" s="86"/>
      <c r="E22" s="84"/>
      <c r="F22" s="85"/>
      <c r="G22" s="86"/>
      <c r="K22" s="37"/>
      <c r="L22" s="37"/>
      <c r="M22" s="37"/>
      <c r="N22" s="37"/>
      <c r="O22" s="37"/>
      <c r="P22" s="37"/>
      <c r="Q22" s="37"/>
      <c r="AG22" s="84"/>
      <c r="AH22" s="84"/>
      <c r="AI22" s="84"/>
      <c r="AL22" s="105" t="e">
        <f>SUM(G21*#REF!)+((1-#REF!)*'Effective Rates'!G7)</f>
        <v>#REF!</v>
      </c>
      <c r="AM22" t="e">
        <f>SUM(AM7+AM21)</f>
        <v>#REF!</v>
      </c>
    </row>
    <row r="23" spans="2:39" thickBot="1">
      <c r="B23" s="86"/>
      <c r="C23" s="86"/>
      <c r="D23" s="307" t="s">
        <v>202</v>
      </c>
      <c r="E23" s="312">
        <v>0</v>
      </c>
      <c r="F23" s="85"/>
      <c r="G23" s="86"/>
      <c r="O23" s="34"/>
      <c r="P23" s="34"/>
      <c r="Q23" s="34"/>
      <c r="AG23" s="84"/>
      <c r="AH23" s="84"/>
      <c r="AI23" s="84"/>
    </row>
    <row r="24" spans="2:39" thickBot="1">
      <c r="B24" s="86"/>
      <c r="C24" s="86"/>
      <c r="G24" s="86"/>
      <c r="O24" s="34"/>
      <c r="P24" s="34"/>
      <c r="Q24" s="34"/>
      <c r="AG24" s="84"/>
      <c r="AH24" s="84"/>
      <c r="AI24" s="84"/>
    </row>
    <row r="25" spans="2:39" ht="14.4">
      <c r="B25" s="86"/>
      <c r="C25" s="86"/>
      <c r="D25" s="294" t="s">
        <v>206</v>
      </c>
      <c r="E25" s="295">
        <f>'Budget Summary'!D35</f>
        <v>0</v>
      </c>
      <c r="G25" s="86"/>
      <c r="O25" s="34"/>
      <c r="P25" s="34"/>
      <c r="Q25" s="34"/>
      <c r="AG25" s="84"/>
      <c r="AH25" s="84"/>
      <c r="AI25" s="84"/>
    </row>
    <row r="26" spans="2:39" ht="14.4">
      <c r="B26" s="86"/>
      <c r="C26" s="86"/>
      <c r="D26" s="310" t="s">
        <v>205</v>
      </c>
      <c r="E26" s="296">
        <f>SUM(K21+N21)</f>
        <v>0</v>
      </c>
      <c r="G26" s="86"/>
      <c r="O26" s="34"/>
      <c r="P26" s="34"/>
      <c r="Q26" s="34"/>
      <c r="AG26" s="84"/>
      <c r="AH26" s="84"/>
      <c r="AI26" s="84"/>
    </row>
    <row r="27" spans="2:39" thickBot="1">
      <c r="B27" s="86"/>
      <c r="C27" s="86"/>
      <c r="D27" s="297" t="s">
        <v>185</v>
      </c>
      <c r="E27" s="293" t="e">
        <f>Calibration!D19</f>
        <v>#DIV/0!</v>
      </c>
      <c r="G27" s="86"/>
      <c r="K27" s="8"/>
      <c r="O27" s="34"/>
      <c r="P27" s="34"/>
      <c r="Q27" s="34"/>
      <c r="AG27" s="84"/>
      <c r="AH27" s="84"/>
      <c r="AI27" s="84"/>
    </row>
    <row r="28" spans="2:39" ht="14.4">
      <c r="B28" s="86"/>
      <c r="C28" s="86"/>
      <c r="D28" s="8"/>
      <c r="G28" s="86"/>
      <c r="I28" s="203"/>
      <c r="J28" s="203"/>
      <c r="O28" s="34"/>
      <c r="P28" s="34"/>
      <c r="Q28" s="34"/>
      <c r="AG28" s="84"/>
      <c r="AH28" s="84"/>
      <c r="AI28" s="84"/>
    </row>
    <row r="29" spans="2:39" ht="14.4">
      <c r="B29" s="86"/>
      <c r="C29" s="86"/>
      <c r="E29" s="84"/>
      <c r="F29" s="85"/>
      <c r="G29" s="86"/>
      <c r="I29" s="203"/>
      <c r="J29" s="203"/>
      <c r="O29" s="34"/>
      <c r="P29" s="34"/>
      <c r="Q29" s="34"/>
      <c r="AG29" s="84"/>
      <c r="AH29" s="84"/>
      <c r="AI29" s="84"/>
    </row>
    <row r="30" spans="2:39" ht="14.4">
      <c r="D30" s="379" t="s">
        <v>246</v>
      </c>
      <c r="E30" s="380"/>
      <c r="I30" s="203"/>
      <c r="J30" s="203"/>
    </row>
    <row r="31" spans="2:39" ht="14.4">
      <c r="D31" s="232" t="s">
        <v>71</v>
      </c>
      <c r="E31" s="232" t="s">
        <v>72</v>
      </c>
    </row>
    <row r="32" spans="2:39" ht="14.4">
      <c r="D32" s="233" t="s">
        <v>73</v>
      </c>
      <c r="E32" s="204"/>
    </row>
    <row r="33" spans="4:35" ht="14.4">
      <c r="D33" s="233" t="s">
        <v>74</v>
      </c>
      <c r="E33" s="204"/>
    </row>
    <row r="34" spans="4:35" ht="14.4">
      <c r="D34" s="233" t="s">
        <v>75</v>
      </c>
      <c r="E34" s="204"/>
    </row>
    <row r="35" spans="4:35" ht="14.4">
      <c r="D35" s="233" t="s">
        <v>76</v>
      </c>
      <c r="E35" s="204"/>
    </row>
    <row r="36" spans="4:35" ht="14.4">
      <c r="D36" s="233" t="s">
        <v>28</v>
      </c>
      <c r="E36" s="204"/>
    </row>
    <row r="37" spans="4:35" ht="14.4">
      <c r="D37" s="233" t="s">
        <v>28</v>
      </c>
      <c r="E37" s="204"/>
    </row>
    <row r="38" spans="4:35" ht="14.4">
      <c r="D38" s="233" t="s">
        <v>28</v>
      </c>
      <c r="E38" s="204"/>
    </row>
    <row r="39" spans="4:35" ht="14.4">
      <c r="D39" s="232" t="s">
        <v>15</v>
      </c>
      <c r="E39" s="285">
        <f>SUM(E32:E38)</f>
        <v>0</v>
      </c>
    </row>
    <row r="40" spans="4:35" ht="14.4"/>
    <row r="41" spans="4:35" ht="14.4">
      <c r="D41" s="376" t="s">
        <v>247</v>
      </c>
      <c r="E41" s="377"/>
      <c r="F41" s="378"/>
    </row>
    <row r="42" spans="4:35" ht="14.4">
      <c r="D42" s="232" t="s">
        <v>71</v>
      </c>
      <c r="E42" s="232" t="s">
        <v>129</v>
      </c>
      <c r="F42" s="234" t="s">
        <v>130</v>
      </c>
    </row>
    <row r="43" spans="4:35" ht="14.4">
      <c r="D43" s="233" t="s">
        <v>128</v>
      </c>
      <c r="E43" s="106"/>
      <c r="F43" s="233" t="s">
        <v>132</v>
      </c>
    </row>
    <row r="44" spans="4:35" ht="14.4">
      <c r="D44" s="235" t="s">
        <v>131</v>
      </c>
      <c r="E44" s="106"/>
      <c r="F44" s="233" t="s">
        <v>132</v>
      </c>
    </row>
    <row r="45" spans="4:35" ht="14.4">
      <c r="D45" s="233" t="s">
        <v>73</v>
      </c>
      <c r="E45" s="106"/>
      <c r="F45" s="236" t="e">
        <f t="shared" ref="F45:F50" si="54">E45/AI45</f>
        <v>#DIV/0!</v>
      </c>
      <c r="AI45" s="94">
        <f>E43</f>
        <v>0</v>
      </c>
    </row>
    <row r="46" spans="4:35" ht="14.4">
      <c r="D46" s="233" t="s">
        <v>74</v>
      </c>
      <c r="E46" s="106"/>
      <c r="F46" s="236" t="e">
        <f t="shared" si="54"/>
        <v>#DIV/0!</v>
      </c>
      <c r="AI46" s="94">
        <f>AI45</f>
        <v>0</v>
      </c>
    </row>
    <row r="47" spans="4:35" ht="14.4">
      <c r="D47" s="233" t="s">
        <v>75</v>
      </c>
      <c r="E47" s="106"/>
      <c r="F47" s="236" t="e">
        <f t="shared" si="54"/>
        <v>#DIV/0!</v>
      </c>
      <c r="AI47" s="94">
        <f t="shared" ref="AI47:AI50" si="55">AI46</f>
        <v>0</v>
      </c>
    </row>
    <row r="48" spans="4:35" ht="14.4">
      <c r="D48" s="233" t="s">
        <v>76</v>
      </c>
      <c r="E48" s="106"/>
      <c r="F48" s="236" t="e">
        <f t="shared" si="54"/>
        <v>#DIV/0!</v>
      </c>
      <c r="AI48" s="94">
        <f t="shared" si="55"/>
        <v>0</v>
      </c>
    </row>
    <row r="49" spans="4:35" ht="14.4">
      <c r="D49" s="233" t="s">
        <v>28</v>
      </c>
      <c r="E49" s="106"/>
      <c r="F49" s="236" t="e">
        <f t="shared" si="54"/>
        <v>#DIV/0!</v>
      </c>
      <c r="AI49" s="94">
        <f t="shared" si="55"/>
        <v>0</v>
      </c>
    </row>
    <row r="50" spans="4:35" ht="14.4">
      <c r="D50" s="233" t="s">
        <v>28</v>
      </c>
      <c r="E50" s="106"/>
      <c r="F50" s="236" t="e">
        <f t="shared" si="54"/>
        <v>#DIV/0!</v>
      </c>
      <c r="AI50" s="94">
        <f t="shared" si="55"/>
        <v>0</v>
      </c>
    </row>
    <row r="51" spans="4:35" ht="14.4">
      <c r="D51" s="232" t="s">
        <v>15</v>
      </c>
      <c r="E51" s="237">
        <f>SUM(E45:E50)</f>
        <v>0</v>
      </c>
      <c r="F51" s="238" t="e">
        <f>SUM(F45:F50)</f>
        <v>#DIV/0!</v>
      </c>
    </row>
    <row r="52" spans="4:35" ht="14.4"/>
    <row r="53" spans="4:35" ht="14.4"/>
    <row r="54" spans="4:35" ht="14.4"/>
    <row r="55" spans="4:35" ht="14.4" hidden="1"/>
    <row r="56" spans="4:35" ht="14.4" hidden="1"/>
    <row r="57" spans="4:35" ht="14.4" hidden="1"/>
    <row r="58" spans="4:35" ht="14.4" hidden="1"/>
    <row r="59" spans="4:35" ht="14.4" hidden="1"/>
    <row r="60" spans="4:35" ht="14.4" hidden="1"/>
    <row r="61" spans="4:35" ht="14.4" hidden="1"/>
    <row r="62" spans="4:35" ht="14.4" hidden="1"/>
    <row r="63" spans="4:35" ht="14.4" hidden="1"/>
    <row r="64" spans="4:35" ht="14.4" hidden="1"/>
    <row r="65" spans="2:2" ht="14.4" hidden="1"/>
    <row r="66" spans="2:2" ht="14.4" hidden="1"/>
    <row r="67" spans="2:2" ht="14.4" hidden="1"/>
    <row r="68" spans="2:2" ht="14.4" hidden="1"/>
    <row r="69" spans="2:2" ht="14.4" hidden="1"/>
    <row r="70" spans="2:2" ht="14.4" hidden="1"/>
    <row r="71" spans="2:2" ht="14.4" hidden="1"/>
    <row r="72" spans="2:2" ht="14.4" hidden="1"/>
    <row r="73" spans="2:2" ht="14.4" hidden="1"/>
    <row r="74" spans="2:2" ht="14.4" hidden="1"/>
    <row r="75" spans="2:2" ht="14.4" hidden="1"/>
    <row r="76" spans="2:2" ht="14.4" hidden="1"/>
    <row r="77" spans="2:2" ht="14.4" hidden="1"/>
    <row r="78" spans="2:2" ht="14.4" hidden="1"/>
    <row r="79" spans="2:2" ht="14.4" hidden="1">
      <c r="B79" s="203">
        <v>0</v>
      </c>
    </row>
    <row r="80" spans="2:2" ht="14.4" hidden="1">
      <c r="B80" s="203">
        <v>0.05</v>
      </c>
    </row>
    <row r="81" spans="2:2" ht="14.4" hidden="1">
      <c r="B81" s="203">
        <v>0.1</v>
      </c>
    </row>
    <row r="82" spans="2:2" ht="14.4" hidden="1">
      <c r="B82" s="203">
        <v>0.15</v>
      </c>
    </row>
    <row r="83" spans="2:2" ht="14.4" hidden="1">
      <c r="B83" s="203">
        <v>0.2</v>
      </c>
    </row>
    <row r="84" spans="2:2" ht="14.4" hidden="1">
      <c r="B84" s="203">
        <v>0.25</v>
      </c>
    </row>
    <row r="85" spans="2:2" ht="14.4" hidden="1">
      <c r="B85" s="203">
        <v>0.3</v>
      </c>
    </row>
    <row r="86" spans="2:2" ht="14.4" hidden="1">
      <c r="B86" s="203">
        <v>0.35</v>
      </c>
    </row>
    <row r="87" spans="2:2" ht="14.4" hidden="1">
      <c r="B87" s="203">
        <v>0.4</v>
      </c>
    </row>
    <row r="88" spans="2:2" ht="14.4" hidden="1">
      <c r="B88" s="203">
        <v>0.45</v>
      </c>
    </row>
    <row r="89" spans="2:2" ht="14.4" hidden="1">
      <c r="B89" s="203">
        <v>0.5</v>
      </c>
    </row>
    <row r="90" spans="2:2" ht="14.4" hidden="1">
      <c r="B90" s="203">
        <v>0.55000000000000004</v>
      </c>
    </row>
    <row r="91" spans="2:2" ht="14.4" hidden="1">
      <c r="B91" s="203">
        <v>0.6</v>
      </c>
    </row>
    <row r="92" spans="2:2" ht="14.4" hidden="1">
      <c r="B92" s="203">
        <v>0.65</v>
      </c>
    </row>
    <row r="93" spans="2:2" ht="14.4" hidden="1">
      <c r="B93" s="203">
        <v>0.7</v>
      </c>
    </row>
    <row r="94" spans="2:2" ht="14.4" hidden="1">
      <c r="B94" s="203">
        <v>0.75</v>
      </c>
    </row>
    <row r="95" spans="2:2" ht="14.4" hidden="1">
      <c r="B95" s="203">
        <v>0.8</v>
      </c>
    </row>
    <row r="96" spans="2:2" ht="14.4" hidden="1">
      <c r="B96" s="203">
        <v>0.85</v>
      </c>
    </row>
    <row r="97" spans="2:2" ht="14.4" hidden="1">
      <c r="B97" s="203">
        <v>0.9</v>
      </c>
    </row>
    <row r="98" spans="2:2" ht="14.4" hidden="1">
      <c r="B98" s="203">
        <v>0.95</v>
      </c>
    </row>
    <row r="99" spans="2:2" ht="14.4" hidden="1">
      <c r="B99" s="203">
        <v>1</v>
      </c>
    </row>
    <row r="100" spans="2:2" ht="14.4" hidden="1"/>
    <row r="101" spans="2:2" ht="14.4" hidden="1"/>
    <row r="102" spans="2:2" ht="14.4" hidden="1"/>
    <row r="103" spans="2:2" ht="14.4" hidden="1"/>
    <row r="104" spans="2:2" ht="14.4" hidden="1"/>
    <row r="105" spans="2:2" ht="14.4" hidden="1"/>
    <row r="106" spans="2:2" ht="14.4" hidden="1"/>
    <row r="107" spans="2:2" ht="14.4" hidden="1"/>
    <row r="108" spans="2:2" ht="14.4" hidden="1"/>
    <row r="109" spans="2:2" ht="14.4" hidden="1"/>
    <row r="110" spans="2:2" ht="14.4" hidden="1"/>
    <row r="111" spans="2:2" ht="14.4" hidden="1"/>
    <row r="112" spans="2:2" ht="14.4" hidden="1"/>
    <row r="113" ht="14.4" hidden="1"/>
    <row r="114" ht="14.4" hidden="1"/>
    <row r="115" ht="14.4" hidden="1"/>
    <row r="116" ht="14.4" hidden="1"/>
    <row r="117" ht="14.4" hidden="1"/>
    <row r="118" ht="14.4" hidden="1"/>
    <row r="119" ht="14.4" hidden="1"/>
    <row r="120" ht="14.4" hidden="1"/>
    <row r="121" ht="14.4" hidden="1"/>
    <row r="122" ht="14.4" hidden="1"/>
    <row r="123" ht="14.4" hidden="1"/>
    <row r="124" ht="14.4" hidden="1"/>
    <row r="125" ht="14.4" hidden="1"/>
    <row r="126" ht="14.4" hidden="1"/>
    <row r="127" ht="14.4" hidden="1"/>
    <row r="128" ht="14.4" hidden="1"/>
    <row r="129" ht="14.4" hidden="1"/>
    <row r="130" ht="14.4" hidden="1"/>
    <row r="131" ht="14.4" hidden="1"/>
    <row r="132" ht="14.4" hidden="1"/>
    <row r="133" ht="14.4" hidden="1"/>
    <row r="134" ht="14.4" hidden="1"/>
    <row r="135" ht="14.4" hidden="1"/>
    <row r="136" ht="14.4" hidden="1"/>
    <row r="137" ht="14.4" hidden="1"/>
    <row r="138" ht="14.4" hidden="1"/>
    <row r="139" ht="14.4" hidden="1"/>
    <row r="140" ht="14.4" hidden="1"/>
    <row r="141" ht="14.4" hidden="1"/>
    <row r="142" ht="14.4" hidden="1"/>
    <row r="143" ht="14.4" hidden="1"/>
    <row r="144" ht="14.4" hidden="1"/>
    <row r="145" ht="14.4" hidden="1"/>
    <row r="146" ht="14.4" hidden="1"/>
    <row r="147" ht="14.4" hidden="1"/>
    <row r="148" ht="14.4" hidden="1"/>
    <row r="149" ht="14.4" hidden="1"/>
    <row r="150" ht="14.4" hidden="1"/>
    <row r="151" ht="14.4" hidden="1"/>
    <row r="152" ht="14.4" hidden="1"/>
    <row r="153" ht="14.4" hidden="1"/>
    <row r="154" ht="14.4" hidden="1"/>
    <row r="155" ht="14.4" hidden="1"/>
    <row r="156" ht="14.4" hidden="1"/>
    <row r="157" ht="14.4" hidden="1"/>
    <row r="158" ht="14.4" hidden="1"/>
    <row r="159" ht="14.4" hidden="1"/>
    <row r="160" ht="14.4" hidden="1"/>
    <row r="161" ht="14.4" hidden="1"/>
    <row r="162" ht="14.4" hidden="1"/>
    <row r="163" ht="14.4" hidden="1"/>
    <row r="164" ht="14.4" hidden="1"/>
    <row r="165" ht="14.4" hidden="1"/>
    <row r="166" ht="14.4" hidden="1"/>
    <row r="167" ht="14.4" hidden="1"/>
    <row r="168" ht="14.4" hidden="1"/>
    <row r="169" ht="14.4" hidden="1"/>
    <row r="170" ht="14.4" hidden="1"/>
    <row r="171" ht="14.4" hidden="1"/>
    <row r="172" ht="14.4" hidden="1"/>
    <row r="173" ht="14.4" hidden="1"/>
    <row r="174" ht="14.4" hidden="1"/>
    <row r="175" ht="14.4" hidden="1"/>
    <row r="176" ht="14.4" hidden="1"/>
    <row r="177" ht="14.4" hidden="1"/>
    <row r="178" ht="14.4" hidden="1"/>
    <row r="179" ht="14.4" hidden="1"/>
    <row r="180" ht="14.4" hidden="1"/>
    <row r="181" ht="14.4" hidden="1"/>
    <row r="182" ht="14.4" hidden="1"/>
    <row r="183" ht="14.4" hidden="1"/>
    <row r="184" ht="14.4" hidden="1"/>
    <row r="185" ht="14.4" hidden="1"/>
    <row r="186" ht="14.4" hidden="1"/>
    <row r="187" ht="14.4" hidden="1"/>
    <row r="188" ht="14.4" hidden="1"/>
    <row r="189" ht="14.4" hidden="1"/>
    <row r="190" ht="14.4" hidden="1"/>
    <row r="191" ht="14.4" hidden="1"/>
    <row r="192" ht="14.4" hidden="1"/>
    <row r="193" ht="14.4" hidden="1"/>
    <row r="194" ht="14.4" hidden="1"/>
    <row r="195" ht="14.4" hidden="1"/>
    <row r="196" ht="14.4" hidden="1"/>
    <row r="197" ht="14.4" hidden="1"/>
    <row r="198" ht="14.4" hidden="1"/>
    <row r="199" ht="14.4" hidden="1"/>
    <row r="200" ht="14.4" hidden="1"/>
    <row r="201" ht="14.4" hidden="1"/>
    <row r="202" ht="14.4" hidden="1"/>
    <row r="203" ht="14.4" hidden="1"/>
    <row r="204" ht="14.4" hidden="1"/>
    <row r="205" ht="14.4" hidden="1"/>
    <row r="206" ht="14.4" hidden="1"/>
    <row r="207" ht="14.4" hidden="1"/>
    <row r="208" ht="14.4" hidden="1"/>
    <row r="209" ht="14.4" hidden="1"/>
    <row r="210" ht="14.4" hidden="1"/>
    <row r="211" ht="14.4" hidden="1"/>
    <row r="212" ht="14.4" hidden="1"/>
    <row r="213" ht="14.4" hidden="1"/>
    <row r="214" ht="14.4" hidden="1"/>
    <row r="215" ht="14.4" hidden="1"/>
    <row r="216" ht="14.4" hidden="1"/>
    <row r="217" ht="14.4" hidden="1"/>
    <row r="218" ht="14.4" hidden="1"/>
    <row r="219" ht="14.4" hidden="1"/>
    <row r="220" ht="14.4" hidden="1"/>
    <row r="221" ht="14.4" hidden="1"/>
    <row r="222" ht="14.4" hidden="1"/>
    <row r="223" ht="14.4" hidden="1"/>
    <row r="224" ht="14.4" hidden="1"/>
    <row r="225" ht="14.4" hidden="1"/>
    <row r="226" ht="14.4" hidden="1"/>
    <row r="227" ht="14.4" hidden="1"/>
    <row r="228" ht="14.4" hidden="1"/>
    <row r="229" ht="14.4" hidden="1"/>
    <row r="230" ht="14.4" hidden="1"/>
    <row r="231" ht="14.4" hidden="1"/>
    <row r="232" ht="14.4" hidden="1"/>
    <row r="233" ht="14.4" hidden="1"/>
    <row r="234" ht="14.4" hidden="1"/>
    <row r="235" ht="14.4" hidden="1"/>
    <row r="236" ht="14.4" hidden="1"/>
    <row r="237" ht="14.4" hidden="1"/>
    <row r="238" ht="14.4" hidden="1"/>
    <row r="239" ht="14.4" hidden="1"/>
    <row r="240" ht="14.4" hidden="1"/>
    <row r="241" ht="14.4" hidden="1"/>
    <row r="242" ht="14.4" hidden="1"/>
    <row r="243" ht="14.4" hidden="1"/>
    <row r="244" ht="14.4" hidden="1"/>
    <row r="245" ht="14.4" hidden="1"/>
    <row r="246" ht="14.4" hidden="1"/>
    <row r="247" ht="14.4" hidden="1"/>
    <row r="248" ht="14.4" hidden="1"/>
    <row r="249" ht="14.4" hidden="1"/>
    <row r="250" ht="14.4" hidden="1"/>
    <row r="251" ht="14.4" hidden="1"/>
    <row r="252" ht="14.4" hidden="1"/>
    <row r="253" ht="14.4" hidden="1"/>
    <row r="254" ht="14.4" hidden="1"/>
    <row r="255" ht="14.4" hidden="1"/>
    <row r="256" ht="14.4" hidden="1"/>
    <row r="257" ht="14.4" hidden="1"/>
    <row r="258" ht="14.4" hidden="1"/>
    <row r="259" ht="14.4" hidden="1"/>
    <row r="260" ht="14.4" hidden="1"/>
    <row r="261" ht="14.4" hidden="1"/>
    <row r="262" ht="14.4" hidden="1"/>
    <row r="263" ht="14.4" hidden="1"/>
    <row r="264" ht="14.4" hidden="1"/>
    <row r="265" ht="14.4" hidden="1"/>
    <row r="266" ht="14.4" hidden="1"/>
    <row r="267" ht="14.4" hidden="1"/>
    <row r="268" ht="14.4" hidden="1"/>
    <row r="269" ht="14.4" hidden="1"/>
    <row r="270" ht="14.4" hidden="1"/>
    <row r="271" ht="14.4" hidden="1"/>
    <row r="272" ht="14.4" hidden="1"/>
    <row r="273" ht="14.4" hidden="1"/>
    <row r="274" ht="14.4" hidden="1"/>
    <row r="275" ht="14.4" hidden="1"/>
    <row r="276" ht="14.4" hidden="1"/>
    <row r="277" ht="14.4" hidden="1"/>
    <row r="278" ht="14.4" hidden="1"/>
    <row r="279" ht="14.4" hidden="1"/>
    <row r="280" ht="14.4" hidden="1"/>
    <row r="281" ht="14.4" hidden="1"/>
    <row r="282" ht="14.4" hidden="1"/>
    <row r="283" ht="14.4" hidden="1"/>
    <row r="284" ht="14.4" hidden="1"/>
    <row r="285" ht="14.4" hidden="1"/>
    <row r="286" ht="14.4" hidden="1"/>
    <row r="287" ht="14.4" hidden="1"/>
    <row r="288" ht="14.4" hidden="1"/>
    <row r="289" ht="14.4" hidden="1"/>
    <row r="290" ht="14.4" hidden="1"/>
    <row r="291" ht="14.4" hidden="1"/>
    <row r="292" ht="14.4" hidden="1"/>
    <row r="293" ht="14.4" hidden="1"/>
    <row r="294" ht="14.4" hidden="1"/>
    <row r="295" ht="14.4" hidden="1"/>
    <row r="296" ht="14.4" hidden="1"/>
    <row r="297" ht="14.4" hidden="1"/>
    <row r="298" ht="14.4" hidden="1"/>
    <row r="299" ht="14.4" hidden="1"/>
    <row r="300" ht="14.4" hidden="1"/>
    <row r="301" ht="14.4" hidden="1"/>
    <row r="302" ht="14.4" hidden="1"/>
    <row r="303" ht="14.4" hidden="1"/>
    <row r="304" ht="14.4" hidden="1"/>
    <row r="305" ht="14.4" hidden="1"/>
    <row r="306" ht="14.4" hidden="1"/>
    <row r="307" ht="14.4" hidden="1"/>
    <row r="308" ht="14.4" hidden="1"/>
    <row r="309" ht="14.4" hidden="1"/>
    <row r="310" ht="14.4" hidden="1"/>
    <row r="311" ht="14.4" hidden="1"/>
    <row r="312" ht="14.4" hidden="1"/>
    <row r="313" ht="14.4" hidden="1"/>
    <row r="314" ht="14.4" hidden="1"/>
    <row r="315" ht="14.4" hidden="1"/>
    <row r="316" ht="14.4" hidden="1"/>
    <row r="317" ht="14.4" hidden="1"/>
    <row r="318" ht="14.4" hidden="1"/>
    <row r="319" ht="14.4" hidden="1"/>
    <row r="320" ht="14.4" hidden="1"/>
    <row r="321" ht="14.4" hidden="1"/>
    <row r="322" ht="14.4" hidden="1"/>
    <row r="323" ht="14.4" hidden="1"/>
    <row r="324" ht="14.4" hidden="1"/>
    <row r="325" ht="14.4" hidden="1"/>
    <row r="326" ht="14.4" hidden="1"/>
    <row r="327" ht="14.4" hidden="1"/>
    <row r="328" ht="14.4" hidden="1"/>
    <row r="329" ht="14.4" hidden="1"/>
    <row r="330" ht="14.4" hidden="1"/>
    <row r="331" ht="14.4" hidden="1"/>
    <row r="332" ht="14.4" hidden="1"/>
    <row r="333" ht="14.4" hidden="1"/>
    <row r="334" ht="14.4" hidden="1"/>
    <row r="335" ht="14.4" hidden="1"/>
    <row r="336" ht="14.4" hidden="1"/>
    <row r="337" ht="14.4" hidden="1"/>
    <row r="338" ht="14.4" hidden="1"/>
    <row r="339" ht="14.4" hidden="1"/>
    <row r="340" ht="14.4" hidden="1"/>
    <row r="341" ht="14.4" hidden="1"/>
    <row r="342" ht="14.4" hidden="1"/>
    <row r="343" ht="14.4" hidden="1"/>
    <row r="344" ht="14.4" hidden="1"/>
    <row r="345" ht="14.4" hidden="1"/>
    <row r="346" ht="14.4" hidden="1"/>
    <row r="347" ht="14.4" hidden="1"/>
    <row r="348" ht="14.4" hidden="1"/>
    <row r="349" ht="14.4" hidden="1"/>
    <row r="350" ht="14.4" hidden="1"/>
    <row r="351" ht="14.4" hidden="1"/>
    <row r="352" ht="14.4" hidden="1"/>
    <row r="353" ht="14.4" hidden="1"/>
    <row r="354" ht="14.4" hidden="1"/>
    <row r="355" ht="14.4" hidden="1"/>
    <row r="356" ht="14.4" hidden="1"/>
    <row r="357" ht="14.4" hidden="1"/>
    <row r="358" ht="14.4" hidden="1"/>
    <row r="359" ht="14.4" hidden="1"/>
    <row r="360" ht="14.4" hidden="1"/>
    <row r="361" ht="14.4" hidden="1"/>
    <row r="362" ht="14.4" hidden="1"/>
    <row r="363" ht="14.4" hidden="1"/>
    <row r="364" ht="14.4" hidden="1"/>
    <row r="365" ht="14.4" hidden="1"/>
    <row r="366" ht="14.4" hidden="1"/>
    <row r="367" ht="14.4" hidden="1"/>
    <row r="368" ht="14.4" hidden="1"/>
    <row r="369" ht="14.4" hidden="1"/>
    <row r="370" ht="14.4" hidden="1"/>
    <row r="371" ht="14.4" hidden="1"/>
    <row r="372" ht="14.4" hidden="1"/>
    <row r="373" ht="14.4" hidden="1"/>
    <row r="374" ht="14.4" hidden="1"/>
    <row r="375" ht="14.4" hidden="1"/>
    <row r="376" ht="14.4" hidden="1"/>
    <row r="377" ht="14.4" hidden="1"/>
    <row r="378" ht="14.4" hidden="1"/>
    <row r="379" ht="14.4" hidden="1"/>
    <row r="380" ht="14.4" hidden="1"/>
    <row r="381" ht="14.4" hidden="1"/>
    <row r="382" ht="14.4" hidden="1"/>
    <row r="383" ht="14.4" hidden="1"/>
    <row r="384" ht="14.4" hidden="1"/>
    <row r="385" ht="14.4" hidden="1"/>
    <row r="386" ht="14.4" hidden="1"/>
    <row r="387" ht="14.4" hidden="1"/>
    <row r="388" ht="14.4" hidden="1"/>
    <row r="389" ht="14.4" hidden="1"/>
    <row r="390" ht="14.4" hidden="1"/>
    <row r="391" ht="14.4" hidden="1"/>
    <row r="392" ht="14.4" hidden="1"/>
    <row r="393" ht="14.4" hidden="1"/>
    <row r="394" ht="14.4" hidden="1"/>
    <row r="395" ht="14.4" hidden="1"/>
    <row r="396" ht="14.4" hidden="1"/>
    <row r="397" ht="14.4" hidden="1"/>
    <row r="398" ht="14.4" hidden="1"/>
    <row r="399" ht="14.4" hidden="1"/>
    <row r="400" ht="14.4" hidden="1"/>
    <row r="401" ht="14.4" hidden="1"/>
    <row r="402" ht="14.4" hidden="1"/>
    <row r="403" ht="14.4" hidden="1"/>
    <row r="404" ht="14.4" hidden="1"/>
    <row r="405" ht="14.4" hidden="1"/>
    <row r="406" ht="14.4" hidden="1"/>
    <row r="407" ht="14.4" hidden="1"/>
    <row r="408" ht="14.4" hidden="1"/>
    <row r="409" ht="14.4" hidden="1"/>
    <row r="410" ht="14.4" hidden="1"/>
    <row r="411" ht="14.4" hidden="1"/>
    <row r="412" ht="14.4" hidden="1"/>
    <row r="413" ht="14.4" hidden="1"/>
    <row r="414" ht="14.4" hidden="1"/>
    <row r="415" ht="14.4" hidden="1"/>
    <row r="416" ht="14.4" hidden="1"/>
    <row r="417" ht="14.4" hidden="1"/>
    <row r="418" ht="14.4" hidden="1"/>
    <row r="419" ht="14.4" hidden="1"/>
    <row r="420" ht="14.4" hidden="1"/>
    <row r="421" ht="14.4" hidden="1"/>
    <row r="422" ht="14.4" hidden="1"/>
    <row r="423" ht="14.4" hidden="1"/>
    <row r="424" ht="14.4" hidden="1"/>
    <row r="425" ht="14.4" hidden="1"/>
    <row r="426" ht="14.4" hidden="1"/>
    <row r="427" ht="14.4" hidden="1"/>
    <row r="428" ht="14.4" hidden="1"/>
    <row r="429" ht="14.4" hidden="1"/>
    <row r="430" ht="14.4" hidden="1"/>
    <row r="431" ht="14.4" hidden="1"/>
    <row r="432" ht="14.4" hidden="1"/>
    <row r="433" ht="14.4" hidden="1"/>
    <row r="434" ht="14.4" hidden="1"/>
    <row r="435" ht="14.4" hidden="1"/>
    <row r="436" ht="14.4" hidden="1"/>
    <row r="437" ht="14.4" hidden="1"/>
    <row r="438" ht="14.4" hidden="1"/>
    <row r="439" ht="14.4" hidden="1"/>
    <row r="440" ht="14.4" hidden="1"/>
    <row r="441" ht="14.4" hidden="1"/>
    <row r="442" ht="14.4" hidden="1"/>
    <row r="443" ht="14.4" hidden="1"/>
    <row r="444" ht="14.4" hidden="1"/>
    <row r="445" ht="14.4" hidden="1"/>
    <row r="446" ht="14.4" hidden="1"/>
    <row r="447" ht="14.4" hidden="1"/>
    <row r="448" ht="14.4" hidden="1"/>
    <row r="449" ht="14.4" hidden="1"/>
    <row r="450" ht="14.4" hidden="1"/>
    <row r="451" ht="14.4" hidden="1"/>
    <row r="452" ht="14.4" hidden="1"/>
    <row r="453" ht="14.4" hidden="1"/>
    <row r="454" ht="14.4" hidden="1"/>
    <row r="455" ht="14.4" hidden="1"/>
    <row r="456" ht="14.4" hidden="1"/>
    <row r="457" ht="14.4" hidden="1"/>
    <row r="458" ht="14.4" hidden="1"/>
    <row r="459" ht="14.4" hidden="1"/>
    <row r="460" ht="14.4" hidden="1"/>
    <row r="461" ht="14.4" hidden="1"/>
    <row r="462" ht="14.4" hidden="1"/>
    <row r="463" ht="14.4" hidden="1"/>
    <row r="464" ht="14.4" hidden="1"/>
    <row r="465" ht="14.4" hidden="1"/>
    <row r="466" ht="14.4" hidden="1"/>
    <row r="467" ht="14.4" hidden="1"/>
    <row r="468" ht="14.4" hidden="1"/>
    <row r="469" ht="14.4" hidden="1"/>
    <row r="470" ht="14.4" hidden="1"/>
    <row r="471" ht="14.4" hidden="1"/>
    <row r="472" ht="14.4" hidden="1"/>
    <row r="473" ht="14.4" hidden="1"/>
    <row r="474" ht="14.4" hidden="1"/>
    <row r="475" ht="14.4" hidden="1"/>
    <row r="476" ht="14.4" hidden="1"/>
    <row r="477" ht="14.4" hidden="1"/>
    <row r="478" ht="14.4" hidden="1"/>
    <row r="479" ht="14.4" hidden="1"/>
    <row r="480" ht="14.4" hidden="1"/>
    <row r="481" ht="14.4" hidden="1"/>
    <row r="482" ht="14.4" hidden="1"/>
    <row r="483" ht="14.4" hidden="1"/>
    <row r="484" ht="14.4" hidden="1"/>
    <row r="485" ht="14.4" hidden="1"/>
    <row r="486" ht="14.4" hidden="1"/>
    <row r="487" ht="14.4" hidden="1"/>
    <row r="488" ht="14.4" hidden="1"/>
    <row r="489" ht="14.4" hidden="1"/>
    <row r="490" ht="14.4" hidden="1"/>
    <row r="491" ht="14.4" hidden="1"/>
    <row r="492" ht="14.4" hidden="1"/>
    <row r="493" ht="14.4" hidden="1"/>
    <row r="494" ht="14.4" hidden="1"/>
    <row r="495" ht="14.4" hidden="1"/>
    <row r="496" ht="14.4" hidden="1"/>
    <row r="497" ht="14.4" hidden="1"/>
    <row r="498" ht="14.4" hidden="1"/>
    <row r="499" ht="14.4" hidden="1"/>
    <row r="500" ht="14.4" hidden="1"/>
    <row r="501" ht="14.4" hidden="1"/>
    <row r="502" ht="14.4" hidden="1"/>
    <row r="503" ht="14.4" hidden="1"/>
    <row r="504" ht="14.4" hidden="1"/>
    <row r="505" ht="14.4" hidden="1"/>
    <row r="506" ht="14.4" hidden="1"/>
    <row r="507" ht="14.4" hidden="1"/>
    <row r="508" ht="14.4" hidden="1"/>
    <row r="509" ht="14.4" hidden="1"/>
    <row r="510" ht="14.4" hidden="1"/>
    <row r="511" ht="14.4" hidden="1"/>
    <row r="512" ht="14.4" hidden="1"/>
    <row r="513" ht="14.4" hidden="1"/>
    <row r="514" ht="14.4" hidden="1"/>
    <row r="515" ht="14.4" hidden="1"/>
    <row r="516" ht="14.4" hidden="1"/>
    <row r="517" ht="14.4" hidden="1"/>
    <row r="518" ht="14.4" hidden="1"/>
    <row r="519" ht="14.4" hidden="1"/>
    <row r="520" ht="14.4" hidden="1"/>
    <row r="521" ht="14.4" hidden="1"/>
    <row r="522" ht="14.4" hidden="1"/>
    <row r="523" ht="14.4" hidden="1"/>
    <row r="524" ht="14.4" hidden="1"/>
    <row r="525" ht="14.4" hidden="1"/>
    <row r="526" ht="14.4" hidden="1"/>
    <row r="527" ht="14.4" hidden="1"/>
    <row r="528" ht="14.4" hidden="1"/>
    <row r="529" ht="14.4" hidden="1"/>
    <row r="530" ht="14.4" hidden="1"/>
    <row r="531" ht="14.4" hidden="1"/>
    <row r="532" ht="14.4" hidden="1"/>
    <row r="533" ht="14.4" hidden="1"/>
    <row r="534" ht="14.4" hidden="1"/>
    <row r="535" ht="14.4" hidden="1"/>
    <row r="536" ht="14.4" hidden="1"/>
    <row r="537" ht="14.4" hidden="1"/>
    <row r="538" ht="14.4" hidden="1"/>
    <row r="539" ht="14.4" hidden="1"/>
    <row r="540" ht="14.4" hidden="1"/>
    <row r="541" ht="14.4" hidden="1"/>
    <row r="542" ht="14.4" hidden="1"/>
    <row r="543" ht="14.4" hidden="1"/>
    <row r="544" ht="14.4" hidden="1"/>
    <row r="545" ht="14.4" hidden="1"/>
    <row r="546" ht="14.4" hidden="1"/>
    <row r="547" ht="14.4" hidden="1"/>
    <row r="548" ht="14.4" hidden="1"/>
    <row r="549" ht="14.4" hidden="1"/>
    <row r="550" ht="14.4" hidden="1"/>
    <row r="551" ht="14.4" hidden="1"/>
    <row r="552" ht="14.4" hidden="1"/>
    <row r="553" ht="14.4" hidden="1"/>
    <row r="554" ht="14.4" hidden="1"/>
    <row r="555" ht="14.4" hidden="1"/>
    <row r="556" ht="14.4" hidden="1"/>
    <row r="557" ht="14.4" hidden="1"/>
    <row r="558" ht="14.4" hidden="1"/>
    <row r="559" ht="14.4" hidden="1"/>
    <row r="560" ht="14.4" hidden="1"/>
    <row r="561" ht="14.4" hidden="1"/>
    <row r="562" ht="14.4" hidden="1"/>
    <row r="563" ht="14.4" hidden="1"/>
    <row r="564" ht="14.4" hidden="1"/>
    <row r="565" ht="14.4" hidden="1"/>
    <row r="566" ht="14.4" hidden="1"/>
    <row r="567" ht="14.4" hidden="1"/>
    <row r="568" ht="14.4" hidden="1"/>
    <row r="569" ht="14.4" hidden="1"/>
    <row r="570" ht="14.4" hidden="1"/>
    <row r="571" ht="14.4" hidden="1"/>
    <row r="572" ht="14.4" hidden="1"/>
    <row r="573" ht="14.4" hidden="1"/>
    <row r="574" ht="14.4" hidden="1"/>
    <row r="575" ht="14.4" hidden="1"/>
    <row r="576" ht="14.4" hidden="1"/>
    <row r="577" ht="14.4" hidden="1"/>
    <row r="578" ht="14.4" hidden="1"/>
    <row r="579" ht="14.4" hidden="1"/>
    <row r="580" ht="14.4" hidden="1"/>
    <row r="581" ht="14.4" hidden="1"/>
    <row r="582" ht="14.4" hidden="1"/>
    <row r="583" ht="14.4" hidden="1"/>
    <row r="584" ht="14.4" hidden="1"/>
    <row r="585" ht="14.4" hidden="1"/>
    <row r="586" ht="14.4" hidden="1"/>
    <row r="587" ht="14.4" hidden="1"/>
    <row r="588" ht="14.4" hidden="1"/>
    <row r="589" ht="14.4" hidden="1"/>
    <row r="590" ht="14.4" hidden="1"/>
    <row r="591" ht="14.4" hidden="1"/>
    <row r="592" ht="14.4" hidden="1"/>
    <row r="593" ht="14.4" hidden="1"/>
    <row r="594" ht="14.4" hidden="1"/>
    <row r="595" ht="14.4" hidden="1"/>
    <row r="596" ht="14.4" hidden="1"/>
    <row r="597" ht="14.4" hidden="1"/>
    <row r="598" ht="14.4" hidden="1"/>
    <row r="599" ht="14.4" hidden="1"/>
    <row r="600" ht="14.4" hidden="1"/>
    <row r="601" ht="14.4" hidden="1"/>
    <row r="602" ht="14.4" hidden="1"/>
    <row r="603" ht="14.4" hidden="1"/>
    <row r="604" ht="14.4" hidden="1"/>
    <row r="605" ht="14.4" hidden="1"/>
    <row r="606" ht="14.4" hidden="1"/>
    <row r="607" ht="14.4" hidden="1"/>
    <row r="608" ht="14.4" hidden="1"/>
    <row r="609" ht="14.4" hidden="1"/>
    <row r="610" ht="14.4" hidden="1"/>
    <row r="611" ht="14.4" hidden="1"/>
    <row r="612" ht="14.4" hidden="1"/>
    <row r="613" ht="14.4" hidden="1"/>
    <row r="614" ht="14.4" hidden="1"/>
    <row r="615" ht="14.4" hidden="1"/>
    <row r="616" ht="14.4" hidden="1"/>
    <row r="617" ht="14.4" hidden="1"/>
    <row r="618" ht="14.4" hidden="1"/>
    <row r="619" ht="14.4" hidden="1"/>
    <row r="620" ht="14.4" hidden="1"/>
    <row r="621" ht="14.4" hidden="1"/>
    <row r="622" ht="14.4" hidden="1"/>
    <row r="623" ht="14.4" hidden="1"/>
    <row r="624" ht="14.4" hidden="1"/>
    <row r="625" ht="14.4" hidden="1"/>
    <row r="626" ht="14.4" hidden="1"/>
    <row r="627" ht="14.4" hidden="1"/>
    <row r="628" ht="14.4" hidden="1"/>
    <row r="629" ht="14.4" hidden="1"/>
    <row r="630" ht="14.4" hidden="1"/>
    <row r="631" ht="14.4" hidden="1"/>
    <row r="632" ht="14.4" hidden="1"/>
    <row r="633" ht="14.4" hidden="1"/>
    <row r="634" ht="14.4" hidden="1"/>
    <row r="635" ht="14.4" hidden="1"/>
    <row r="636" ht="14.4" hidden="1"/>
    <row r="637" ht="14.4" hidden="1"/>
    <row r="638" ht="14.4" hidden="1"/>
    <row r="639" ht="14.4" hidden="1"/>
    <row r="640" ht="14.4" hidden="1"/>
    <row r="641" ht="14.4" hidden="1"/>
    <row r="642" ht="14.4" hidden="1"/>
    <row r="643" ht="14.4" hidden="1"/>
    <row r="644" ht="14.4" hidden="1"/>
    <row r="645" ht="14.4" hidden="1"/>
    <row r="646" ht="14.4" hidden="1"/>
    <row r="647" ht="14.4" hidden="1"/>
    <row r="648" ht="14.4" hidden="1"/>
    <row r="649" ht="14.4" hidden="1"/>
    <row r="650" ht="14.4" hidden="1"/>
    <row r="651" ht="14.4" hidden="1"/>
    <row r="652" ht="14.4" hidden="1"/>
    <row r="653" ht="14.4" hidden="1"/>
    <row r="654" ht="14.4" hidden="1"/>
    <row r="655" ht="14.4" hidden="1"/>
    <row r="656" ht="14.4" hidden="1"/>
    <row r="657" ht="14.4" hidden="1"/>
    <row r="658" ht="14.4" hidden="1"/>
    <row r="659" ht="14.4" hidden="1"/>
    <row r="660" ht="14.4" hidden="1"/>
    <row r="661" ht="14.4" hidden="1"/>
    <row r="662" ht="14.4" hidden="1"/>
    <row r="663" ht="14.4" hidden="1"/>
    <row r="664" ht="14.4" hidden="1"/>
    <row r="665" ht="14.4" hidden="1"/>
    <row r="666" ht="14.4" hidden="1"/>
    <row r="667" ht="14.4" hidden="1"/>
    <row r="668" ht="14.4" hidden="1"/>
    <row r="669" ht="14.4" hidden="1"/>
    <row r="670" ht="14.4" hidden="1"/>
    <row r="671" ht="14.4" hidden="1"/>
    <row r="672" ht="14.4" hidden="1"/>
    <row r="673" ht="14.4" hidden="1"/>
    <row r="674" ht="14.4" hidden="1"/>
    <row r="675" ht="14.4" hidden="1"/>
    <row r="676" ht="14.4" hidden="1"/>
    <row r="677" ht="14.4" hidden="1"/>
    <row r="678" ht="14.4" hidden="1"/>
    <row r="679" ht="14.4" hidden="1"/>
    <row r="680" ht="14.4" hidden="1"/>
    <row r="681" ht="14.4" hidden="1"/>
    <row r="682" ht="14.4" hidden="1"/>
    <row r="683" ht="14.4" hidden="1"/>
    <row r="684" ht="14.4" hidden="1"/>
    <row r="685" ht="14.4" hidden="1"/>
    <row r="686" ht="14.4" hidden="1"/>
    <row r="687" ht="14.4" hidden="1"/>
    <row r="688" ht="14.4" hidden="1"/>
    <row r="689" ht="14.4" hidden="1"/>
    <row r="690" ht="14.4" hidden="1"/>
    <row r="691" ht="14.4" hidden="1"/>
    <row r="692" ht="14.4" hidden="1"/>
    <row r="693" ht="14.4" hidden="1"/>
    <row r="694" ht="14.4" hidden="1"/>
    <row r="695" ht="14.4" hidden="1"/>
    <row r="696" ht="14.4" hidden="1"/>
    <row r="697" ht="14.4" hidden="1"/>
    <row r="698" ht="14.4" hidden="1"/>
    <row r="699" ht="14.4" hidden="1"/>
    <row r="700" ht="14.4" hidden="1"/>
    <row r="701" ht="14.4" hidden="1"/>
    <row r="702" ht="14.4" hidden="1"/>
    <row r="703" ht="14.4" hidden="1"/>
    <row r="704" ht="14.4" hidden="1"/>
    <row r="705" ht="14.4" hidden="1"/>
    <row r="706" ht="14.4" hidden="1"/>
    <row r="707" ht="14.4" hidden="1"/>
    <row r="708" ht="14.4" hidden="1"/>
    <row r="709" ht="14.4" hidden="1"/>
    <row r="710" ht="14.4" hidden="1"/>
    <row r="711" ht="14.4" hidden="1"/>
    <row r="712" ht="14.4" hidden="1"/>
    <row r="713" ht="14.4" hidden="1"/>
    <row r="714" ht="14.4" hidden="1"/>
    <row r="715" ht="14.4" hidden="1"/>
    <row r="716" ht="14.4" hidden="1"/>
    <row r="717" ht="14.4" hidden="1"/>
    <row r="718" ht="14.4" hidden="1"/>
    <row r="719" ht="14.4" hidden="1"/>
    <row r="720" ht="14.4" hidden="1"/>
    <row r="721" ht="14.4" hidden="1"/>
    <row r="722" ht="14.4" hidden="1"/>
    <row r="723" ht="14.4" hidden="1"/>
    <row r="724" ht="14.4" hidden="1"/>
    <row r="725" ht="14.4" hidden="1"/>
    <row r="726" ht="14.4" hidden="1"/>
    <row r="727" ht="14.4" hidden="1"/>
    <row r="728" ht="14.4" hidden="1"/>
    <row r="729" ht="14.4" hidden="1"/>
    <row r="730" ht="14.4" hidden="1"/>
    <row r="731" ht="14.4" hidden="1"/>
    <row r="732" ht="14.4" hidden="1"/>
    <row r="733" ht="14.4" hidden="1"/>
    <row r="734" ht="14.4" hidden="1"/>
    <row r="735" ht="14.4" hidden="1"/>
    <row r="736" ht="14.4" hidden="1"/>
    <row r="737" ht="14.4" hidden="1"/>
    <row r="738" ht="14.4" hidden="1"/>
    <row r="739" ht="14.4" hidden="1"/>
    <row r="740" ht="14.4" hidden="1"/>
    <row r="741" ht="14.4" hidden="1"/>
    <row r="742" ht="14.4" hidden="1"/>
    <row r="743" ht="14.4" hidden="1"/>
    <row r="744" ht="14.4" hidden="1"/>
    <row r="745" ht="14.4" hidden="1"/>
    <row r="746" ht="14.4" hidden="1"/>
    <row r="747" ht="14.4" hidden="1"/>
    <row r="748" ht="14.4" hidden="1"/>
    <row r="749" ht="14.4" hidden="1"/>
    <row r="750" ht="14.4" hidden="1"/>
    <row r="751" ht="14.4" hidden="1"/>
    <row r="752" ht="14.4" hidden="1"/>
    <row r="753" ht="14.4" hidden="1"/>
    <row r="754" ht="14.4" hidden="1"/>
    <row r="755" ht="14.4" hidden="1"/>
    <row r="756" ht="14.4" hidden="1"/>
    <row r="757" ht="14.4" hidden="1"/>
    <row r="758" ht="14.4" hidden="1"/>
    <row r="759" ht="14.4" hidden="1"/>
    <row r="760" ht="14.4" hidden="1"/>
    <row r="761" ht="14.4" hidden="1"/>
    <row r="762" ht="14.4" hidden="1"/>
    <row r="763" ht="14.4" hidden="1"/>
    <row r="764" ht="14.4" hidden="1"/>
    <row r="765" ht="14.4" hidden="1"/>
    <row r="766" ht="14.4" hidden="1"/>
    <row r="767" ht="14.4" hidden="1"/>
    <row r="768" ht="14.4" hidden="1"/>
    <row r="769" ht="14.4" hidden="1"/>
    <row r="770" ht="14.4" hidden="1"/>
    <row r="771" ht="14.4" hidden="1"/>
    <row r="772" ht="14.4" hidden="1"/>
    <row r="773" ht="14.4" hidden="1"/>
    <row r="774" ht="14.4" hidden="1"/>
    <row r="775" ht="14.4" hidden="1"/>
    <row r="776" ht="14.4" hidden="1"/>
    <row r="777" ht="14.4" hidden="1"/>
    <row r="778" ht="14.4" hidden="1"/>
    <row r="779" ht="14.4" hidden="1"/>
    <row r="780" ht="14.4" hidden="1"/>
    <row r="781" ht="14.4" hidden="1"/>
    <row r="782" ht="14.4" hidden="1"/>
    <row r="783" ht="14.4" hidden="1"/>
    <row r="784" ht="14.4" hidden="1"/>
    <row r="785" ht="14.4" hidden="1"/>
    <row r="786" ht="14.4" hidden="1"/>
    <row r="787" ht="14.4" hidden="1"/>
    <row r="788" ht="14.4" hidden="1"/>
    <row r="789" ht="14.4" hidden="1"/>
    <row r="790" ht="14.4" hidden="1"/>
    <row r="791" ht="14.4" hidden="1"/>
    <row r="792" ht="14.4" hidden="1"/>
    <row r="793" ht="14.4" hidden="1"/>
    <row r="794" ht="14.4" hidden="1"/>
    <row r="795" ht="14.4" hidden="1"/>
    <row r="796" ht="14.4" hidden="1"/>
    <row r="797" ht="14.4" hidden="1"/>
    <row r="798" ht="14.4" hidden="1"/>
    <row r="799" ht="14.4" hidden="1"/>
    <row r="800" ht="14.4" hidden="1"/>
    <row r="801" ht="14.4" hidden="1"/>
    <row r="802" ht="14.4" hidden="1"/>
    <row r="803" ht="14.4" hidden="1"/>
    <row r="804" ht="14.4" hidden="1"/>
    <row r="805" ht="14.4" hidden="1"/>
    <row r="806" ht="14.4" hidden="1"/>
    <row r="807" ht="14.4" hidden="1"/>
    <row r="808" ht="14.4" hidden="1"/>
    <row r="809" ht="14.4" hidden="1"/>
    <row r="810" ht="14.4" hidden="1"/>
    <row r="811" ht="14.4" hidden="1"/>
    <row r="812" ht="14.4" hidden="1"/>
    <row r="813" ht="14.4" hidden="1"/>
    <row r="814" ht="14.4" hidden="1"/>
    <row r="815" ht="14.4" hidden="1"/>
    <row r="816" ht="14.4" hidden="1"/>
    <row r="817" ht="14.4" hidden="1"/>
    <row r="818" ht="14.4" hidden="1"/>
    <row r="819" ht="14.4" hidden="1"/>
    <row r="820" ht="14.4" hidden="1"/>
    <row r="821" ht="14.4" hidden="1"/>
    <row r="822" ht="14.4" hidden="1"/>
    <row r="823" ht="14.4" hidden="1"/>
    <row r="824" ht="14.4" hidden="1"/>
    <row r="825" ht="14.4" hidden="1"/>
    <row r="826" ht="14.4" hidden="1"/>
    <row r="827" ht="14.4" hidden="1"/>
    <row r="828" ht="14.4" hidden="1"/>
    <row r="829" ht="14.4" hidden="1"/>
    <row r="830" ht="14.4" hidden="1"/>
    <row r="831" ht="14.4" hidden="1"/>
    <row r="832" ht="14.4" hidden="1"/>
    <row r="833" ht="14.4" hidden="1"/>
    <row r="834" ht="14.4" hidden="1"/>
    <row r="835" ht="14.4" hidden="1"/>
    <row r="836" ht="14.4" hidden="1"/>
    <row r="837" ht="14.4" hidden="1"/>
    <row r="838" ht="14.4" hidden="1"/>
    <row r="839" ht="14.4" hidden="1"/>
    <row r="840" ht="14.4" hidden="1"/>
    <row r="841" ht="14.4" hidden="1"/>
    <row r="842" ht="14.4" hidden="1"/>
    <row r="843" ht="14.4" hidden="1"/>
    <row r="844" ht="14.4" hidden="1"/>
    <row r="845" ht="14.4" hidden="1"/>
    <row r="846" ht="14.4" hidden="1"/>
    <row r="847" ht="14.4" hidden="1"/>
    <row r="848" ht="14.4" hidden="1"/>
    <row r="849" ht="14.4" hidden="1"/>
    <row r="850" ht="14.4" hidden="1"/>
    <row r="851" ht="14.4" hidden="1"/>
    <row r="852" ht="14.4" hidden="1"/>
    <row r="853" ht="14.4" hidden="1"/>
    <row r="854" ht="14.4" hidden="1"/>
    <row r="855" ht="14.4" hidden="1"/>
    <row r="856" ht="14.4" hidden="1"/>
    <row r="857" ht="14.4" hidden="1"/>
    <row r="858" ht="14.4" hidden="1"/>
    <row r="859" ht="14.4" hidden="1"/>
    <row r="860" ht="14.4" hidden="1"/>
    <row r="861" ht="14.4" hidden="1"/>
    <row r="862" ht="14.4" hidden="1"/>
    <row r="863" ht="14.4" hidden="1"/>
    <row r="864" ht="14.4" hidden="1"/>
    <row r="865" ht="14.4" hidden="1"/>
    <row r="866" ht="14.4" hidden="1"/>
    <row r="867" ht="14.4" hidden="1"/>
    <row r="868" ht="14.4" hidden="1"/>
    <row r="869" ht="14.4" hidden="1"/>
    <row r="870" ht="14.4" hidden="1"/>
    <row r="871" ht="14.4" hidden="1"/>
    <row r="872" ht="14.4" hidden="1"/>
    <row r="873" ht="14.4" hidden="1"/>
    <row r="874" ht="14.4" hidden="1"/>
    <row r="875" ht="14.4" hidden="1"/>
    <row r="876" ht="14.4" hidden="1"/>
    <row r="877" ht="14.4" hidden="1"/>
    <row r="878" ht="14.4" hidden="1"/>
    <row r="879" ht="14.4" hidden="1"/>
    <row r="880" ht="14.4" hidden="1"/>
    <row r="881" ht="14.4" hidden="1"/>
    <row r="882" ht="14.4" hidden="1"/>
    <row r="883" ht="14.4" hidden="1"/>
    <row r="884" ht="14.4" hidden="1"/>
    <row r="885" ht="14.4" hidden="1"/>
    <row r="886" ht="14.4" hidden="1"/>
    <row r="887" ht="14.4" hidden="1"/>
    <row r="888" ht="14.4" hidden="1"/>
    <row r="889" ht="14.4" hidden="1"/>
    <row r="890" ht="14.4" hidden="1"/>
    <row r="891" ht="14.4" hidden="1"/>
    <row r="892" ht="14.4" hidden="1"/>
    <row r="893" ht="14.4" hidden="1"/>
    <row r="894" ht="14.4" hidden="1"/>
    <row r="895" ht="14.4" hidden="1"/>
    <row r="896" ht="14.4" hidden="1"/>
    <row r="897" ht="14.4" hidden="1"/>
    <row r="898" ht="14.4" hidden="1"/>
    <row r="899" ht="14.4" hidden="1"/>
    <row r="900" ht="14.4" hidden="1"/>
    <row r="901" ht="14.4" hidden="1"/>
    <row r="902" ht="14.4" hidden="1"/>
    <row r="903" ht="14.4" hidden="1"/>
    <row r="904" ht="14.4" hidden="1"/>
    <row r="905" ht="14.4" hidden="1"/>
    <row r="906" ht="14.4" hidden="1"/>
    <row r="907" ht="14.4" hidden="1"/>
    <row r="908" ht="14.4" hidden="1"/>
    <row r="909" ht="14.4" hidden="1"/>
    <row r="910" ht="14.4" hidden="1"/>
    <row r="911" ht="14.4" hidden="1"/>
    <row r="912" ht="14.4" hidden="1"/>
    <row r="913" ht="14.4" hidden="1"/>
    <row r="914" ht="14.4" hidden="1"/>
    <row r="915" ht="14.4" hidden="1"/>
    <row r="916" ht="14.4" hidden="1"/>
    <row r="917" ht="14.4" hidden="1"/>
    <row r="918" ht="14.4" hidden="1"/>
    <row r="919" ht="14.4" hidden="1"/>
    <row r="920" ht="14.4" hidden="1"/>
    <row r="921" ht="14.4" hidden="1"/>
    <row r="922" ht="14.4" hidden="1"/>
    <row r="923" ht="14.4" hidden="1"/>
    <row r="924" ht="14.4" hidden="1"/>
    <row r="925" ht="14.4" hidden="1"/>
    <row r="926" ht="14.4" hidden="1"/>
    <row r="927" ht="14.4" hidden="1"/>
    <row r="928" ht="14.4" hidden="1"/>
    <row r="929" ht="14.4" hidden="1"/>
    <row r="930" ht="14.4" hidden="1"/>
    <row r="931" ht="14.4" hidden="1"/>
    <row r="932" ht="14.4" hidden="1"/>
    <row r="933" ht="14.4" hidden="1"/>
    <row r="934" ht="14.4" hidden="1"/>
    <row r="935" ht="14.4" hidden="1"/>
    <row r="936" ht="14.4" hidden="1"/>
    <row r="937" ht="14.4" hidden="1"/>
    <row r="938" ht="14.4" hidden="1"/>
    <row r="939" ht="14.4" hidden="1"/>
    <row r="940" ht="14.4" hidden="1"/>
    <row r="941" ht="14.4" hidden="1"/>
    <row r="942" ht="14.4" hidden="1"/>
    <row r="943" ht="14.4" hidden="1"/>
    <row r="944" ht="14.4" hidden="1"/>
    <row r="945" ht="14.4" hidden="1"/>
    <row r="946" ht="14.4" hidden="1"/>
    <row r="947" ht="14.4" hidden="1"/>
    <row r="948" ht="14.4" hidden="1"/>
    <row r="949" ht="14.4" hidden="1"/>
    <row r="950" ht="14.4" hidden="1"/>
    <row r="951" ht="14.4" hidden="1"/>
    <row r="952" ht="14.4" hidden="1"/>
    <row r="953" ht="14.4" hidden="1"/>
    <row r="954" ht="14.4" hidden="1"/>
    <row r="955" ht="14.4" hidden="1"/>
    <row r="956" ht="14.4" hidden="1"/>
    <row r="957" ht="14.4" hidden="1"/>
    <row r="958" ht="14.4" hidden="1"/>
    <row r="959" ht="14.4" hidden="1"/>
    <row r="960" ht="14.4" hidden="1"/>
    <row r="961" ht="14.4" hidden="1"/>
    <row r="962" ht="14.4" hidden="1"/>
    <row r="963" ht="14.4" hidden="1"/>
    <row r="964" ht="14.4" hidden="1"/>
    <row r="965" ht="14.4" hidden="1"/>
    <row r="966" ht="14.4" hidden="1"/>
    <row r="967" ht="14.4" hidden="1"/>
    <row r="968" ht="14.4" hidden="1"/>
    <row r="969" ht="14.4" hidden="1"/>
    <row r="970" ht="14.4" hidden="1"/>
    <row r="971" ht="14.4" hidden="1"/>
    <row r="972" ht="14.4" hidden="1"/>
    <row r="973" ht="14.4" hidden="1"/>
    <row r="974" ht="14.4" hidden="1"/>
    <row r="975" ht="14.4" hidden="1"/>
    <row r="976" ht="14.4" hidden="1"/>
    <row r="977" ht="14.4" hidden="1"/>
    <row r="978" ht="14.4" hidden="1"/>
    <row r="979" ht="14.4" hidden="1"/>
    <row r="980" ht="14.4" hidden="1"/>
    <row r="981" ht="14.4" hidden="1"/>
    <row r="982" ht="14.4" hidden="1"/>
    <row r="983" ht="14.4" hidden="1"/>
    <row r="984" ht="14.4" hidden="1"/>
    <row r="985" ht="14.4" hidden="1"/>
    <row r="986" ht="14.4" hidden="1"/>
    <row r="987" ht="14.4" hidden="1"/>
    <row r="988" ht="14.4" hidden="1"/>
    <row r="989" ht="14.4" hidden="1"/>
    <row r="990" ht="14.4" hidden="1"/>
    <row r="991" ht="14.4" hidden="1"/>
    <row r="992" ht="15" customHeight="1"/>
  </sheetData>
  <mergeCells count="10">
    <mergeCell ref="B2:C2"/>
    <mergeCell ref="B9:C9"/>
    <mergeCell ref="D41:F41"/>
    <mergeCell ref="D30:E30"/>
    <mergeCell ref="N2:P2"/>
    <mergeCell ref="H9:J9"/>
    <mergeCell ref="K2:M2"/>
    <mergeCell ref="H2:J2"/>
    <mergeCell ref="K9:M9"/>
    <mergeCell ref="N9:P9"/>
  </mergeCells>
  <conditionalFormatting sqref="E7 E21">
    <cfRule type="cellIs" dxfId="30" priority="27" operator="lessThan">
      <formula>1</formula>
    </cfRule>
    <cfRule type="cellIs" dxfId="29" priority="28" operator="equal">
      <formula>1</formula>
    </cfRule>
  </conditionalFormatting>
  <conditionalFormatting sqref="E14">
    <cfRule type="cellIs" dxfId="28" priority="15" operator="greaterThan">
      <formula>1</formula>
    </cfRule>
    <cfRule type="cellIs" dxfId="27" priority="16" operator="lessThan">
      <formula>1</formula>
    </cfRule>
    <cfRule type="cellIs" dxfId="26" priority="17" operator="equal">
      <formula>1</formula>
    </cfRule>
  </conditionalFormatting>
  <conditionalFormatting sqref="E21 E7">
    <cfRule type="cellIs" dxfId="25" priority="26" operator="greaterThan">
      <formula>1</formula>
    </cfRule>
  </conditionalFormatting>
  <conditionalFormatting sqref="E21">
    <cfRule type="cellIs" dxfId="24" priority="1" operator="equal">
      <formula>1.00001</formula>
    </cfRule>
  </conditionalFormatting>
  <conditionalFormatting sqref="E26">
    <cfRule type="cellIs" dxfId="23" priority="2" operator="lessThan">
      <formula>$E$25*0.1</formula>
    </cfRule>
    <cfRule type="cellIs" dxfId="22" priority="3" operator="equal">
      <formula>$E$25*0.1</formula>
    </cfRule>
    <cfRule type="cellIs" dxfId="21" priority="4" operator="greaterThan">
      <formula>$E$25*0.1</formula>
    </cfRule>
  </conditionalFormatting>
  <conditionalFormatting sqref="M14">
    <cfRule type="cellIs" dxfId="17" priority="12" operator="greaterThan">
      <formula>$M$7*0.1</formula>
    </cfRule>
    <cfRule type="cellIs" dxfId="16" priority="21" operator="lessThan">
      <formula>$M$7*0.1</formula>
    </cfRule>
    <cfRule type="cellIs" dxfId="15" priority="24" operator="lessThan">
      <formula>$M$7*0.1</formula>
    </cfRule>
  </conditionalFormatting>
  <dataValidations disablePrompts="1" count="1">
    <dataValidation errorStyle="information" allowBlank="1" showErrorMessage="1" errorTitle="Non-Standard entry" sqref="B79:B99" xr:uid="{2B64A372-480F-48F3-93B3-B677108A3ABF}"/>
  </dataValidations>
  <pageMargins left="0.7" right="0.7" top="0.75" bottom="0.75" header="0.3" footer="0.3"/>
  <pageSetup orientation="portrait" verticalDpi="300" r:id="rId1"/>
  <ignoredErrors>
    <ignoredError sqref="M14" formula="1"/>
  </ignoredErrors>
  <legacyDrawing r:id="rId2"/>
  <extLst>
    <ext xmlns:x14="http://schemas.microsoft.com/office/spreadsheetml/2009/9/main" uri="{78C0D931-6437-407d-A8EE-F0AAD7539E65}">
      <x14:conditionalFormattings>
        <x14:conditionalFormatting xmlns:xm="http://schemas.microsoft.com/office/excel/2006/main">
          <x14:cfRule type="cellIs" priority="5" operator="equal" id="{53AC2707-F1C7-4A26-ABE8-3E788415F9CB}">
            <xm:f>Calibration!$C$41</xm:f>
            <x14:dxf>
              <font>
                <color rgb="FF006100"/>
              </font>
              <fill>
                <patternFill>
                  <bgColor rgb="FFC6EFCE"/>
                </patternFill>
              </fill>
            </x14:dxf>
          </x14:cfRule>
          <x14:cfRule type="cellIs" priority="6" operator="lessThan" id="{AD6A4D5D-F5CD-40B4-B7FD-4314912B804B}">
            <xm:f>Calibration!$C$41</xm:f>
            <x14:dxf>
              <font>
                <color rgb="FF9C0006"/>
              </font>
              <fill>
                <patternFill patternType="solid">
                  <fgColor rgb="FFFFC7CE"/>
                  <bgColor rgb="FFFFC7CE"/>
                </patternFill>
              </fill>
              <border>
                <left/>
                <right/>
                <top/>
                <bottom/>
              </border>
            </x14:dxf>
          </x14:cfRule>
          <x14:cfRule type="cellIs" priority="7" operator="greaterThan" id="{AE16A943-C63B-4C3F-A803-700819D05541}">
            <xm:f>Calibration!$C$41</xm:f>
            <x14:dxf>
              <font>
                <color rgb="FF006100"/>
              </font>
              <fill>
                <patternFill patternType="solid">
                  <fgColor rgb="FFC6EFCE"/>
                  <bgColor rgb="FFC6EFCE"/>
                </patternFill>
              </fill>
              <border>
                <left/>
                <right/>
                <top/>
                <bottom/>
              </border>
            </x14:dxf>
          </x14:cfRule>
          <xm:sqref>E27</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377EF-F3D2-44EC-82FA-D741045606BC}">
  <dimension ref="B1:T14"/>
  <sheetViews>
    <sheetView workbookViewId="0">
      <selection activeCell="M4" sqref="M4"/>
    </sheetView>
  </sheetViews>
  <sheetFormatPr defaultRowHeight="14.4"/>
  <cols>
    <col min="2" max="2" width="19.88671875" customWidth="1"/>
    <col min="3" max="3" width="20.33203125" customWidth="1"/>
    <col min="8" max="8" width="31.44140625" customWidth="1"/>
    <col min="20" max="20" width="12.88671875" customWidth="1"/>
  </cols>
  <sheetData>
    <row r="1" spans="2:20" ht="15" thickBot="1">
      <c r="F1" t="s">
        <v>7</v>
      </c>
    </row>
    <row r="2" spans="2:20" ht="15" thickBot="1">
      <c r="B2" t="s">
        <v>213</v>
      </c>
      <c r="C2" s="289">
        <v>5000</v>
      </c>
      <c r="F2" t="s">
        <v>18</v>
      </c>
      <c r="G2" t="s">
        <v>45</v>
      </c>
      <c r="K2" s="381" t="s">
        <v>3</v>
      </c>
      <c r="L2" s="382"/>
      <c r="M2" s="383"/>
      <c r="N2" s="381" t="s">
        <v>5</v>
      </c>
      <c r="O2" s="382"/>
      <c r="P2" s="383"/>
      <c r="Q2" s="381" t="s">
        <v>6</v>
      </c>
      <c r="R2" s="382"/>
      <c r="S2" s="383"/>
      <c r="T2" s="34" t="s">
        <v>7</v>
      </c>
    </row>
    <row r="3" spans="2:20">
      <c r="B3" t="s">
        <v>214</v>
      </c>
      <c r="C3" s="37">
        <f>C2*0.25</f>
        <v>1250</v>
      </c>
      <c r="F3" t="s">
        <v>215</v>
      </c>
      <c r="G3" t="s">
        <v>215</v>
      </c>
      <c r="H3" t="s">
        <v>216</v>
      </c>
      <c r="I3" t="s">
        <v>217</v>
      </c>
      <c r="J3" t="s">
        <v>218</v>
      </c>
      <c r="K3" s="90" t="s">
        <v>12</v>
      </c>
      <c r="L3" s="33" t="s">
        <v>14</v>
      </c>
      <c r="M3" s="91" t="s">
        <v>15</v>
      </c>
      <c r="N3" s="90" t="s">
        <v>16</v>
      </c>
      <c r="O3" s="33" t="s">
        <v>14</v>
      </c>
      <c r="P3" s="91" t="s">
        <v>15</v>
      </c>
      <c r="Q3" s="90" t="s">
        <v>12</v>
      </c>
      <c r="R3" s="33" t="s">
        <v>14</v>
      </c>
      <c r="S3" s="91" t="s">
        <v>15</v>
      </c>
      <c r="T3" s="33" t="s">
        <v>17</v>
      </c>
    </row>
    <row r="4" spans="2:20">
      <c r="B4" t="s">
        <v>219</v>
      </c>
      <c r="F4" s="291">
        <v>0</v>
      </c>
      <c r="G4" s="291">
        <v>1</v>
      </c>
      <c r="I4" s="37">
        <v>50</v>
      </c>
      <c r="J4" s="291">
        <v>0.25</v>
      </c>
      <c r="K4" s="38"/>
      <c r="L4" s="38"/>
      <c r="M4" s="92"/>
      <c r="N4" s="39"/>
      <c r="O4" s="39"/>
      <c r="P4" s="93"/>
      <c r="Q4" s="39"/>
      <c r="R4" s="39"/>
      <c r="S4" s="93"/>
      <c r="T4" s="39"/>
    </row>
    <row r="5" spans="2:20">
      <c r="F5" s="291">
        <v>0</v>
      </c>
      <c r="G5" s="291">
        <v>1</v>
      </c>
      <c r="K5" s="38"/>
      <c r="L5" s="38"/>
      <c r="M5" s="92"/>
      <c r="N5" s="39"/>
      <c r="O5" s="39"/>
      <c r="P5" s="93"/>
      <c r="Q5" s="39"/>
      <c r="R5" s="39"/>
      <c r="S5" s="93"/>
      <c r="T5" s="39"/>
    </row>
    <row r="6" spans="2:20">
      <c r="F6" s="291">
        <v>0</v>
      </c>
      <c r="G6" s="291">
        <v>1</v>
      </c>
      <c r="K6" s="38"/>
      <c r="L6" s="38"/>
      <c r="M6" s="92"/>
      <c r="N6" s="39"/>
      <c r="O6" s="39"/>
      <c r="P6" s="93"/>
      <c r="Q6" s="39"/>
      <c r="R6" s="39"/>
      <c r="S6" s="93"/>
      <c r="T6" s="39"/>
    </row>
    <row r="7" spans="2:20">
      <c r="H7" t="s">
        <v>33</v>
      </c>
    </row>
    <row r="8" spans="2:20">
      <c r="F8" t="s">
        <v>143</v>
      </c>
    </row>
    <row r="9" spans="2:20">
      <c r="F9" t="s">
        <v>18</v>
      </c>
      <c r="G9" t="s">
        <v>45</v>
      </c>
      <c r="K9" s="381" t="s">
        <v>3</v>
      </c>
      <c r="L9" s="382"/>
      <c r="M9" s="383"/>
      <c r="N9" s="381" t="s">
        <v>5</v>
      </c>
      <c r="O9" s="382"/>
      <c r="P9" s="383"/>
      <c r="Q9" s="381" t="s">
        <v>6</v>
      </c>
      <c r="R9" s="382"/>
      <c r="S9" s="383"/>
      <c r="T9" s="34" t="s">
        <v>7</v>
      </c>
    </row>
    <row r="10" spans="2:20">
      <c r="F10" t="s">
        <v>215</v>
      </c>
      <c r="G10" t="s">
        <v>215</v>
      </c>
      <c r="H10" t="s">
        <v>216</v>
      </c>
      <c r="I10" t="s">
        <v>217</v>
      </c>
      <c r="J10" t="s">
        <v>218</v>
      </c>
      <c r="K10" s="90" t="s">
        <v>12</v>
      </c>
      <c r="L10" s="33" t="s">
        <v>14</v>
      </c>
      <c r="M10" s="91" t="s">
        <v>15</v>
      </c>
      <c r="N10" s="90" t="s">
        <v>16</v>
      </c>
      <c r="O10" s="33" t="s">
        <v>14</v>
      </c>
      <c r="P10" s="91" t="s">
        <v>15</v>
      </c>
      <c r="Q10" s="90" t="s">
        <v>12</v>
      </c>
      <c r="R10" s="33" t="s">
        <v>14</v>
      </c>
      <c r="S10" s="91" t="s">
        <v>15</v>
      </c>
      <c r="T10" s="33" t="s">
        <v>17</v>
      </c>
    </row>
    <row r="11" spans="2:20">
      <c r="F11" s="291">
        <v>0</v>
      </c>
      <c r="G11" s="291">
        <v>1</v>
      </c>
      <c r="I11" s="37">
        <v>50</v>
      </c>
      <c r="J11" s="291">
        <v>0.25</v>
      </c>
      <c r="K11" s="38"/>
      <c r="L11" s="38"/>
      <c r="M11" s="92"/>
      <c r="N11" s="39"/>
      <c r="O11" s="39"/>
      <c r="P11" s="93"/>
      <c r="Q11" s="39"/>
      <c r="R11" s="39"/>
      <c r="S11" s="93"/>
      <c r="T11" s="39"/>
    </row>
    <row r="12" spans="2:20">
      <c r="F12" s="291">
        <v>0</v>
      </c>
      <c r="G12" s="291">
        <v>1</v>
      </c>
      <c r="K12" s="38"/>
      <c r="L12" s="38"/>
      <c r="M12" s="92"/>
      <c r="N12" s="39"/>
      <c r="O12" s="39"/>
      <c r="P12" s="93"/>
      <c r="Q12" s="39"/>
      <c r="R12" s="39"/>
      <c r="S12" s="93"/>
      <c r="T12" s="39"/>
    </row>
    <row r="13" spans="2:20">
      <c r="F13" s="291">
        <v>0</v>
      </c>
      <c r="G13" s="291">
        <v>1</v>
      </c>
      <c r="K13" s="38"/>
      <c r="L13" s="38"/>
      <c r="M13" s="92"/>
      <c r="N13" s="39"/>
      <c r="O13" s="39"/>
      <c r="P13" s="93"/>
      <c r="Q13" s="39"/>
      <c r="R13" s="39"/>
      <c r="S13" s="93"/>
      <c r="T13" s="39"/>
    </row>
    <row r="14" spans="2:20">
      <c r="H14" t="s">
        <v>33</v>
      </c>
    </row>
  </sheetData>
  <mergeCells count="6">
    <mergeCell ref="K9:M9"/>
    <mergeCell ref="N9:P9"/>
    <mergeCell ref="Q9:S9"/>
    <mergeCell ref="K2:M2"/>
    <mergeCell ref="N2:P2"/>
    <mergeCell ref="Q2:S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L40"/>
  <sheetViews>
    <sheetView workbookViewId="0">
      <selection activeCell="J21" sqref="J21"/>
    </sheetView>
  </sheetViews>
  <sheetFormatPr defaultRowHeight="14.4"/>
  <cols>
    <col min="2" max="2" width="28.5546875" customWidth="1"/>
    <col min="3" max="3" width="18.5546875" customWidth="1"/>
    <col min="4" max="4" width="11.33203125" customWidth="1"/>
    <col min="8" max="8" width="16.5546875" customWidth="1"/>
    <col min="9" max="9" width="22" customWidth="1"/>
    <col min="10" max="10" width="18.5546875" customWidth="1"/>
    <col min="11" max="11" width="16.6640625" customWidth="1"/>
    <col min="12" max="12" width="20.6640625" customWidth="1"/>
  </cols>
  <sheetData>
    <row r="1" spans="2:12">
      <c r="C1" t="s">
        <v>12</v>
      </c>
      <c r="D1" t="s">
        <v>158</v>
      </c>
    </row>
    <row r="2" spans="2:12">
      <c r="B2" t="s">
        <v>220</v>
      </c>
      <c r="C2">
        <f>Calibration!D3</f>
        <v>0</v>
      </c>
    </row>
    <row r="3" spans="2:12">
      <c r="C3">
        <f>IF(ISNUMBER(Calibration!D16),Calibration!D15*(1-Calibration!D16)*Calibration!D3,0)</f>
        <v>0</v>
      </c>
    </row>
    <row r="8" spans="2:12" ht="15" thickBot="1"/>
    <row r="9" spans="2:12">
      <c r="B9" t="s">
        <v>144</v>
      </c>
      <c r="C9">
        <f>C2-C3</f>
        <v>0</v>
      </c>
      <c r="G9" s="42" t="s">
        <v>0</v>
      </c>
      <c r="H9" s="43" t="s">
        <v>49</v>
      </c>
      <c r="I9" s="43" t="s">
        <v>50</v>
      </c>
      <c r="J9" s="44" t="s">
        <v>51</v>
      </c>
      <c r="K9" s="43" t="s">
        <v>52</v>
      </c>
      <c r="L9" s="45" t="s">
        <v>53</v>
      </c>
    </row>
    <row r="10" spans="2:12">
      <c r="B10" t="s">
        <v>145</v>
      </c>
      <c r="C10">
        <f>C9*0.1</f>
        <v>0</v>
      </c>
      <c r="D10">
        <f>C10</f>
        <v>0</v>
      </c>
      <c r="G10" s="386" t="s">
        <v>68</v>
      </c>
      <c r="H10" s="378"/>
      <c r="I10" s="387"/>
      <c r="J10" s="46">
        <f>SUM(J11:J12)</f>
        <v>0</v>
      </c>
      <c r="K10" s="46">
        <f>SUM(K11:K12)</f>
        <v>0</v>
      </c>
      <c r="L10" s="46">
        <f>SUM(L11:L12)</f>
        <v>0</v>
      </c>
    </row>
    <row r="11" spans="2:12">
      <c r="B11" t="s">
        <v>146</v>
      </c>
      <c r="C11">
        <f>'Effective Rates'!U14</f>
        <v>0</v>
      </c>
      <c r="D11" s="94">
        <f>'Effective Rates'!F14+(1+'Effective Rates'!G14)</f>
        <v>1</v>
      </c>
      <c r="E11" s="105"/>
      <c r="F11" s="105"/>
      <c r="G11" s="48">
        <v>200</v>
      </c>
      <c r="H11" s="123">
        <f>'Effective Rates'!W22</f>
        <v>0</v>
      </c>
      <c r="I11" s="49" t="s">
        <v>54</v>
      </c>
      <c r="J11" s="50">
        <f>'Effective Rates'!N21</f>
        <v>0</v>
      </c>
      <c r="K11" s="51">
        <f>'Effective Rates'!O21</f>
        <v>0</v>
      </c>
      <c r="L11" s="52">
        <f>SUM(J11:K11)</f>
        <v>0</v>
      </c>
    </row>
    <row r="12" spans="2:12" ht="15" thickBot="1">
      <c r="B12" t="s">
        <v>149</v>
      </c>
      <c r="C12">
        <f>IF(C11&gt;0,ROUNDDOWN(C10/C11,0),0)</f>
        <v>0</v>
      </c>
      <c r="D12" s="105">
        <f>D10/D11</f>
        <v>0</v>
      </c>
      <c r="G12" s="48">
        <v>100</v>
      </c>
      <c r="H12" s="123">
        <f>'Effective Rates'!V22</f>
        <v>0</v>
      </c>
      <c r="I12" s="49" t="s">
        <v>55</v>
      </c>
      <c r="J12" s="50">
        <f>'Effective Rates'!K21</f>
        <v>0</v>
      </c>
      <c r="K12" s="51">
        <f>'Effective Rates'!L21</f>
        <v>0</v>
      </c>
      <c r="L12" s="52">
        <f>SUM(J12:K12)</f>
        <v>0</v>
      </c>
    </row>
    <row r="13" spans="2:12">
      <c r="B13" t="s">
        <v>148</v>
      </c>
      <c r="C13" s="119">
        <f>Calibration!D7</f>
        <v>0</v>
      </c>
      <c r="G13" s="388" t="s">
        <v>56</v>
      </c>
      <c r="H13" s="378"/>
      <c r="I13" s="387"/>
      <c r="J13" s="53">
        <f>SUM(J14:J15)</f>
        <v>0</v>
      </c>
      <c r="K13" s="47">
        <f>SUM(K14:K15)</f>
        <v>0</v>
      </c>
      <c r="L13" s="54">
        <f>SUM(J13:K13)</f>
        <v>0</v>
      </c>
    </row>
    <row r="14" spans="2:12">
      <c r="B14" t="s">
        <v>147</v>
      </c>
      <c r="C14" s="120">
        <f>IF(C12&gt;0,ROUNDDOWN(C12*C13,0),D12*C13)</f>
        <v>0</v>
      </c>
      <c r="D14" s="105"/>
      <c r="G14" s="48">
        <v>200</v>
      </c>
      <c r="H14" s="123" t="e">
        <f>'Effective Rates'!W7</f>
        <v>#DIV/0!</v>
      </c>
      <c r="I14" s="49" t="s">
        <v>57</v>
      </c>
      <c r="J14" s="50">
        <f>'Effective Rates'!N7</f>
        <v>0</v>
      </c>
      <c r="K14" s="51">
        <f>'Effective Rates'!O7</f>
        <v>0</v>
      </c>
      <c r="L14" s="52">
        <f>SUM(J14:K14)</f>
        <v>0</v>
      </c>
    </row>
    <row r="15" spans="2:12" ht="15" thickBot="1">
      <c r="G15" s="48">
        <v>100</v>
      </c>
      <c r="H15" s="123" t="e">
        <f>'Effective Rates'!V7</f>
        <v>#DIV/0!</v>
      </c>
      <c r="I15" s="49" t="s">
        <v>58</v>
      </c>
      <c r="J15" s="50">
        <f>'Effective Rates'!K7</f>
        <v>0</v>
      </c>
      <c r="K15" s="51">
        <f>'Effective Rates'!L7</f>
        <v>0</v>
      </c>
      <c r="L15" s="52">
        <f>SUM(J15:K15)</f>
        <v>0</v>
      </c>
    </row>
    <row r="16" spans="2:12">
      <c r="B16" t="s">
        <v>144</v>
      </c>
      <c r="C16">
        <f>C9</f>
        <v>0</v>
      </c>
      <c r="D16">
        <f>C16*(1-H21)*Calibration!D15</f>
        <v>0</v>
      </c>
      <c r="G16" s="389" t="s">
        <v>59</v>
      </c>
      <c r="H16" s="390"/>
      <c r="I16" s="391"/>
      <c r="J16" s="53">
        <f>J17</f>
        <v>0</v>
      </c>
      <c r="K16" s="55">
        <f>SUM(K17:K18)</f>
        <v>0</v>
      </c>
      <c r="L16" s="54">
        <f>SUM(L17:L18)</f>
        <v>0</v>
      </c>
    </row>
    <row r="17" spans="2:12">
      <c r="B17" t="s">
        <v>150</v>
      </c>
      <c r="C17">
        <f>C16*0.1</f>
        <v>0</v>
      </c>
      <c r="D17">
        <f>C17</f>
        <v>0</v>
      </c>
      <c r="G17" s="48">
        <v>300</v>
      </c>
      <c r="H17" s="107">
        <f>Calibration!D11</f>
        <v>0</v>
      </c>
      <c r="I17" s="49" t="s">
        <v>60</v>
      </c>
      <c r="J17" s="50">
        <f>IF(H17&gt;0,D24*(1-H17),D24)</f>
        <v>0</v>
      </c>
      <c r="K17" s="51">
        <f>D24-J17</f>
        <v>0</v>
      </c>
      <c r="L17" s="56">
        <f>D24</f>
        <v>0</v>
      </c>
    </row>
    <row r="18" spans="2:12" ht="15" thickBot="1">
      <c r="B18" t="s">
        <v>146</v>
      </c>
      <c r="C18">
        <f>'Effective Rates'!U21</f>
        <v>0</v>
      </c>
      <c r="D18" s="94">
        <f>'Effective Rates'!F21*(1+'Effective Rates'!G21)</f>
        <v>1.0009999999999999E-4</v>
      </c>
      <c r="E18" s="105"/>
      <c r="F18" s="105"/>
      <c r="G18" s="48">
        <v>300</v>
      </c>
      <c r="H18" s="57"/>
      <c r="I18" s="49" t="s">
        <v>61</v>
      </c>
      <c r="J18" s="58"/>
      <c r="K18" s="51">
        <f>D26</f>
        <v>0</v>
      </c>
      <c r="L18" s="59">
        <f>K18</f>
        <v>0</v>
      </c>
    </row>
    <row r="19" spans="2:12" ht="15" thickBot="1">
      <c r="B19" t="s">
        <v>147</v>
      </c>
      <c r="C19">
        <f>IF(C11&gt;0,ROUNDDOWN(C10/C11,0),0)</f>
        <v>0</v>
      </c>
      <c r="D19" s="105">
        <f>D17/D18</f>
        <v>0</v>
      </c>
      <c r="G19" s="60">
        <v>300</v>
      </c>
      <c r="H19" s="108">
        <f>Calibration!D13</f>
        <v>0</v>
      </c>
      <c r="I19" s="61" t="s">
        <v>62</v>
      </c>
      <c r="J19" s="62">
        <f>IF(ISNUMBER(Calibration!D12),Calibration!D12*(1-H19),0)</f>
        <v>0</v>
      </c>
      <c r="K19" s="63">
        <f>IF(ISNUMBER(Calibration!D12),Calibration!D12*H19,0)</f>
        <v>0</v>
      </c>
      <c r="L19" s="64">
        <f>SUM(J19:K19)</f>
        <v>0</v>
      </c>
    </row>
    <row r="20" spans="2:12" ht="15" thickBot="1">
      <c r="B20" t="s">
        <v>148</v>
      </c>
      <c r="C20" s="119">
        <f>Calibration!D6</f>
        <v>0</v>
      </c>
      <c r="G20" s="65">
        <v>700</v>
      </c>
      <c r="H20" s="66"/>
      <c r="I20" s="61" t="s">
        <v>63</v>
      </c>
      <c r="J20" s="67"/>
      <c r="K20" s="68">
        <f>Calibration!D14</f>
        <v>0</v>
      </c>
      <c r="L20" s="69">
        <f>SUM(J20:K20)</f>
        <v>0</v>
      </c>
    </row>
    <row r="21" spans="2:12" ht="15" thickBot="1">
      <c r="B21" t="s">
        <v>147</v>
      </c>
      <c r="C21" s="120">
        <f>IF(C19&gt;0,ROUNDDOWN(C19*C20,0),D19*C20)</f>
        <v>0</v>
      </c>
      <c r="D21" s="105">
        <f>ROUNDDOWN(D17/D18,0)</f>
        <v>0</v>
      </c>
      <c r="G21" s="70">
        <v>800</v>
      </c>
      <c r="H21" s="109">
        <f>Calibration!D16</f>
        <v>1</v>
      </c>
      <c r="I21" s="71" t="s">
        <v>64</v>
      </c>
      <c r="J21" s="72">
        <f>IF(ISNUMBER(Calibration!D15),SUM(J10+J13+J17+J19)*(1-H21)*Calibration!D15,0)</f>
        <v>0</v>
      </c>
      <c r="K21" s="73">
        <f>IF(ISNUMBER(Calibration!D15),SUM(J10+J13+J17)*H21*Calibration!D15,0)</f>
        <v>0</v>
      </c>
      <c r="L21" s="69">
        <f>SUM(J21:K21)</f>
        <v>0</v>
      </c>
    </row>
    <row r="22" spans="2:12" ht="15" thickBot="1">
      <c r="G22" s="74"/>
      <c r="H22" s="75"/>
      <c r="I22" s="76"/>
      <c r="J22" s="77">
        <f>SUM(J10+J13+J17+J19+J21)</f>
        <v>0</v>
      </c>
      <c r="K22" s="78">
        <f>SUM(K10+K13+K17+K18+K19+K20+K21)</f>
        <v>0</v>
      </c>
      <c r="L22" s="79">
        <f>SUM(L10+L13+L17+L18++L19+L20+L21)</f>
        <v>0</v>
      </c>
    </row>
    <row r="23" spans="2:12">
      <c r="B23" t="s">
        <v>151</v>
      </c>
      <c r="I23" s="124"/>
      <c r="J23" s="41"/>
      <c r="K23" s="125"/>
      <c r="L23" s="41"/>
    </row>
    <row r="24" spans="2:12">
      <c r="B24" t="s">
        <v>152</v>
      </c>
      <c r="C24" s="122">
        <f>Calibration!D8</f>
        <v>0.54500000000000004</v>
      </c>
      <c r="D24" s="94">
        <f>C24*C28</f>
        <v>0</v>
      </c>
      <c r="I24" s="124"/>
      <c r="J24" s="41"/>
      <c r="K24" s="125"/>
      <c r="L24" s="41"/>
    </row>
    <row r="25" spans="2:12">
      <c r="B25" t="s">
        <v>153</v>
      </c>
      <c r="C25" s="122">
        <f>Calibration!D9</f>
        <v>1.58</v>
      </c>
      <c r="D25" s="122">
        <f>IF(C36&gt;C38,C25*C28,0)</f>
        <v>0</v>
      </c>
      <c r="I25" s="124"/>
      <c r="J25" s="41"/>
      <c r="K25" s="125"/>
      <c r="L25" s="41"/>
    </row>
    <row r="26" spans="2:12">
      <c r="B26" t="s">
        <v>189</v>
      </c>
      <c r="C26" s="122">
        <f>C25-C24</f>
        <v>1.0350000000000001</v>
      </c>
      <c r="D26" s="94">
        <f>C26*C28</f>
        <v>0</v>
      </c>
    </row>
    <row r="27" spans="2:12">
      <c r="B27" t="s">
        <v>154</v>
      </c>
      <c r="C27" s="105">
        <f>Calibration!D10</f>
        <v>0</v>
      </c>
      <c r="D27" s="105"/>
      <c r="H27" t="s">
        <v>193</v>
      </c>
      <c r="I27">
        <v>1</v>
      </c>
      <c r="K27" s="8" t="s">
        <v>197</v>
      </c>
    </row>
    <row r="28" spans="2:12">
      <c r="B28" t="s">
        <v>162</v>
      </c>
      <c r="C28">
        <f>C27*C37</f>
        <v>0</v>
      </c>
      <c r="D28" s="105"/>
      <c r="H28" t="s">
        <v>194</v>
      </c>
      <c r="I28">
        <v>4</v>
      </c>
      <c r="K28" t="s">
        <v>191</v>
      </c>
    </row>
    <row r="29" spans="2:12">
      <c r="D29" s="105"/>
      <c r="H29" t="s">
        <v>195</v>
      </c>
      <c r="I29">
        <v>12</v>
      </c>
    </row>
    <row r="30" spans="2:12">
      <c r="D30" s="105"/>
    </row>
    <row r="31" spans="2:12">
      <c r="D31" s="105"/>
    </row>
    <row r="32" spans="2:12">
      <c r="D32" s="105"/>
    </row>
    <row r="33" spans="2:12">
      <c r="D33" s="105"/>
    </row>
    <row r="34" spans="2:12">
      <c r="D34" s="105"/>
      <c r="L34" s="94"/>
    </row>
    <row r="35" spans="2:12">
      <c r="B35" t="s">
        <v>7</v>
      </c>
      <c r="C35" s="94">
        <f>C9-'Effective Rates'!K21-'Effective Rates'!N21-J19</f>
        <v>0</v>
      </c>
    </row>
    <row r="36" spans="2:12">
      <c r="B36" t="s">
        <v>155</v>
      </c>
      <c r="C36" s="94">
        <f>'Effective Rates'!U7+((MIN(C24:C25)*Calibration!D10)*(1-H17))</f>
        <v>42</v>
      </c>
    </row>
    <row r="37" spans="2:12">
      <c r="B37" t="s">
        <v>3</v>
      </c>
      <c r="C37">
        <f>IF(C36&gt;0,ROUNDDOWN(C35/C36,0),0)</f>
        <v>0</v>
      </c>
    </row>
    <row r="38" spans="2:12">
      <c r="B38" t="s">
        <v>156</v>
      </c>
      <c r="C38">
        <f>'Effective Rates'!U7</f>
        <v>42</v>
      </c>
    </row>
    <row r="39" spans="2:12">
      <c r="B39" t="s">
        <v>157</v>
      </c>
      <c r="C39" s="40">
        <f>ROUNDDOWN(C35/C38,0)</f>
        <v>0</v>
      </c>
    </row>
    <row r="40" spans="2:12">
      <c r="C40" s="119"/>
    </row>
  </sheetData>
  <mergeCells count="3">
    <mergeCell ref="G10:I10"/>
    <mergeCell ref="G13:I13"/>
    <mergeCell ref="G16:I16"/>
  </mergeCells>
  <conditionalFormatting sqref="J22">
    <cfRule type="cellIs" dxfId="14" priority="15" operator="greaterThan">
      <formula>#REF!</formula>
    </cfRule>
    <cfRule type="cellIs" dxfId="13" priority="16" operator="lessThan">
      <formula>$D$10</formula>
    </cfRule>
    <cfRule type="cellIs" dxfId="12" priority="17" operator="equal">
      <formula>$D$10</formula>
    </cfRule>
  </conditionalFormatting>
  <conditionalFormatting sqref="K22">
    <cfRule type="cellIs" dxfId="11" priority="12" operator="greaterThan">
      <formula>#REF!</formula>
    </cfRule>
    <cfRule type="cellIs" dxfId="10" priority="13" operator="lessThan">
      <formula>#REF!</formula>
    </cfRule>
    <cfRule type="cellIs" dxfId="9" priority="14" operator="equal">
      <formula>#REF!</formula>
    </cfRule>
  </conditionalFormatting>
  <pageMargins left="0.7" right="0.7" top="0.75" bottom="0.75" header="0.3" footer="0.3"/>
  <pageSetup orientation="portrait" r:id="rId1"/>
  <ignoredErrors>
    <ignoredError sqref="L18"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sheetPr>
  <dimension ref="B1:J21"/>
  <sheetViews>
    <sheetView zoomScale="120" zoomScaleNormal="120" workbookViewId="0">
      <selection activeCell="B2" sqref="B2:J2"/>
    </sheetView>
  </sheetViews>
  <sheetFormatPr defaultColWidth="8.88671875" defaultRowHeight="14.4"/>
  <cols>
    <col min="1" max="1" width="3.109375" customWidth="1"/>
    <col min="3" max="3" width="10.5546875" customWidth="1"/>
    <col min="4" max="4" width="10.109375" customWidth="1"/>
    <col min="5" max="5" width="9.6640625" customWidth="1"/>
    <col min="6" max="7" width="10.88671875" customWidth="1"/>
    <col min="8" max="8" width="11.109375" customWidth="1"/>
    <col min="9" max="9" width="11.33203125" customWidth="1"/>
    <col min="10" max="10" width="12.6640625" customWidth="1"/>
  </cols>
  <sheetData>
    <row r="1" spans="2:10" ht="15" thickBot="1"/>
    <row r="2" spans="2:10" ht="15" thickBot="1">
      <c r="B2" s="394" t="str">
        <f>CONCATENATE("Law Enforcement Hours: ",Sheet1!C37)</f>
        <v>Law Enforcement Hours: 0</v>
      </c>
      <c r="C2" s="395"/>
      <c r="D2" s="395"/>
      <c r="E2" s="395"/>
      <c r="F2" s="395"/>
      <c r="G2" s="395"/>
      <c r="H2" s="395"/>
      <c r="I2" s="395"/>
      <c r="J2" s="396"/>
    </row>
    <row r="3" spans="2:10" ht="15" thickBot="1">
      <c r="B3" s="397"/>
      <c r="C3" s="398"/>
      <c r="D3" s="398"/>
      <c r="E3" s="398"/>
      <c r="F3" s="398"/>
      <c r="G3" s="398"/>
      <c r="H3" s="398"/>
      <c r="I3" s="398"/>
      <c r="J3" s="399"/>
    </row>
    <row r="4" spans="2:10">
      <c r="B4" s="400"/>
      <c r="C4" s="401"/>
      <c r="D4" s="134" t="s">
        <v>12</v>
      </c>
      <c r="E4" s="134" t="s">
        <v>14</v>
      </c>
      <c r="F4" s="134" t="s">
        <v>173</v>
      </c>
      <c r="G4" s="134" t="s">
        <v>175</v>
      </c>
      <c r="H4" s="134" t="s">
        <v>177</v>
      </c>
      <c r="I4" s="135" t="s">
        <v>178</v>
      </c>
      <c r="J4" s="404" t="s">
        <v>22</v>
      </c>
    </row>
    <row r="5" spans="2:10" ht="15" thickBot="1">
      <c r="B5" s="402"/>
      <c r="C5" s="403"/>
      <c r="D5" s="136" t="s">
        <v>172</v>
      </c>
      <c r="E5" s="136" t="s">
        <v>172</v>
      </c>
      <c r="F5" s="136" t="s">
        <v>174</v>
      </c>
      <c r="G5" s="136" t="s">
        <v>176</v>
      </c>
      <c r="H5" s="136" t="s">
        <v>176</v>
      </c>
      <c r="I5" s="137" t="s">
        <v>176</v>
      </c>
      <c r="J5" s="405"/>
    </row>
    <row r="6" spans="2:10" ht="15" customHeight="1" thickBot="1">
      <c r="B6" s="406" t="s">
        <v>180</v>
      </c>
      <c r="C6" s="407"/>
      <c r="D6" s="407"/>
      <c r="E6" s="407"/>
      <c r="F6" s="407"/>
      <c r="G6" s="407"/>
      <c r="H6" s="407"/>
      <c r="I6" s="407"/>
      <c r="J6" s="408"/>
    </row>
    <row r="7" spans="2:10">
      <c r="B7" s="422" t="str">
        <f>'Effective Rates'!D4</f>
        <v>Patrol</v>
      </c>
      <c r="C7" s="423"/>
      <c r="D7" s="138">
        <f>'Effective Rates'!H4</f>
        <v>0</v>
      </c>
      <c r="E7" s="138">
        <f>'Effective Rates'!I4</f>
        <v>0</v>
      </c>
      <c r="F7" s="139">
        <f>'Effective Rates'!F4</f>
        <v>35</v>
      </c>
      <c r="G7" s="140">
        <f>'Effective Rates'!K4</f>
        <v>0</v>
      </c>
      <c r="H7" s="141">
        <f>'Effective Rates'!L4</f>
        <v>0</v>
      </c>
      <c r="I7" s="140">
        <f>'Effective Rates'!M4</f>
        <v>0</v>
      </c>
      <c r="J7" s="142">
        <f>'Effective Rates'!P4</f>
        <v>0</v>
      </c>
    </row>
    <row r="8" spans="2:10">
      <c r="B8" s="424" t="str">
        <f>'Effective Rates'!D5</f>
        <v>Sergeant</v>
      </c>
      <c r="C8" s="425"/>
      <c r="D8" s="143">
        <f>'Effective Rates'!H5</f>
        <v>0</v>
      </c>
      <c r="E8" s="143">
        <f>'Effective Rates'!I5</f>
        <v>0</v>
      </c>
      <c r="F8" s="144">
        <f>'Effective Rates'!F5</f>
        <v>0</v>
      </c>
      <c r="G8" s="145">
        <f>'Effective Rates'!K5</f>
        <v>0</v>
      </c>
      <c r="H8" s="146">
        <f>'Effective Rates'!L5</f>
        <v>0</v>
      </c>
      <c r="I8" s="145">
        <f>'Effective Rates'!M5</f>
        <v>0</v>
      </c>
      <c r="J8" s="147">
        <f>'Effective Rates'!P5</f>
        <v>0</v>
      </c>
    </row>
    <row r="9" spans="2:10" ht="15" thickBot="1">
      <c r="B9" s="392" t="str">
        <f>'Effective Rates'!D6</f>
        <v>Lieutenant/Other</v>
      </c>
      <c r="C9" s="393"/>
      <c r="D9" s="148">
        <f>'Effective Rates'!H6</f>
        <v>0</v>
      </c>
      <c r="E9" s="148">
        <f>'Effective Rates'!I6</f>
        <v>0</v>
      </c>
      <c r="F9" s="149">
        <f>'Effective Rates'!F6</f>
        <v>0</v>
      </c>
      <c r="G9" s="150">
        <f>'Effective Rates'!K6</f>
        <v>0</v>
      </c>
      <c r="H9" s="151">
        <f>'Effective Rates'!L6</f>
        <v>0</v>
      </c>
      <c r="I9" s="150">
        <f>'Effective Rates'!M6</f>
        <v>0</v>
      </c>
      <c r="J9" s="152">
        <f>'Effective Rates'!P6</f>
        <v>0</v>
      </c>
    </row>
    <row r="10" spans="2:10">
      <c r="B10" s="409" t="s">
        <v>204</v>
      </c>
      <c r="C10" s="410"/>
      <c r="D10" s="410"/>
      <c r="E10" s="410"/>
      <c r="F10" s="410"/>
      <c r="G10" s="410"/>
      <c r="H10" s="410"/>
      <c r="I10" s="410"/>
      <c r="J10" s="411"/>
    </row>
    <row r="11" spans="2:10">
      <c r="B11" s="420" t="str">
        <f>'Effective Rates'!D15</f>
        <v>Administrative Assistant</v>
      </c>
      <c r="C11" s="421"/>
      <c r="D11" s="153">
        <f>'Effective Rates'!H15</f>
        <v>0</v>
      </c>
      <c r="E11" s="143">
        <f>'Effective Rates'!I15</f>
        <v>0</v>
      </c>
      <c r="F11" s="144">
        <f>'Effective Rates'!F15</f>
        <v>0</v>
      </c>
      <c r="G11" s="144">
        <f>'Effective Rates'!K15</f>
        <v>0</v>
      </c>
      <c r="H11" s="144">
        <f>'Effective Rates'!L15</f>
        <v>0</v>
      </c>
      <c r="I11" s="144">
        <f>'Effective Rates'!M15</f>
        <v>0</v>
      </c>
      <c r="J11" s="154">
        <f>'Effective Rates'!P15</f>
        <v>0</v>
      </c>
    </row>
    <row r="12" spans="2:10">
      <c r="B12" s="420" t="str">
        <f>'Effective Rates'!D16</f>
        <v>Sergeant</v>
      </c>
      <c r="C12" s="421"/>
      <c r="D12" s="153">
        <f>'Effective Rates'!H16</f>
        <v>0</v>
      </c>
      <c r="E12" s="143">
        <f>'Effective Rates'!I16</f>
        <v>0</v>
      </c>
      <c r="F12" s="144">
        <f>'Effective Rates'!F16</f>
        <v>0</v>
      </c>
      <c r="G12" s="144">
        <f>'Effective Rates'!K16</f>
        <v>0</v>
      </c>
      <c r="H12" s="144">
        <f>'Effective Rates'!L16</f>
        <v>0</v>
      </c>
      <c r="I12" s="144">
        <f>'Effective Rates'!M16</f>
        <v>0</v>
      </c>
      <c r="J12" s="154">
        <f>'Effective Rates'!P16</f>
        <v>0</v>
      </c>
    </row>
    <row r="13" spans="2:10">
      <c r="B13" s="420" t="str">
        <f>'Effective Rates'!D17</f>
        <v>Lieutenant</v>
      </c>
      <c r="C13" s="421"/>
      <c r="D13" s="153">
        <f>'Effective Rates'!H17</f>
        <v>0</v>
      </c>
      <c r="E13" s="143">
        <f>'Effective Rates'!I17</f>
        <v>0</v>
      </c>
      <c r="F13" s="144">
        <f>'Effective Rates'!F17</f>
        <v>0</v>
      </c>
      <c r="G13" s="144">
        <f>'Effective Rates'!K17</f>
        <v>0</v>
      </c>
      <c r="H13" s="144">
        <f>'Effective Rates'!L17</f>
        <v>0</v>
      </c>
      <c r="I13" s="144">
        <f>'Effective Rates'!M17</f>
        <v>0</v>
      </c>
      <c r="J13" s="154">
        <f>'Effective Rates'!P17</f>
        <v>0</v>
      </c>
    </row>
    <row r="14" spans="2:10">
      <c r="B14" s="420" t="str">
        <f>'Effective Rates'!D18</f>
        <v>Finance</v>
      </c>
      <c r="C14" s="421"/>
      <c r="D14" s="153">
        <f>'Effective Rates'!H18</f>
        <v>0</v>
      </c>
      <c r="E14" s="143">
        <f>'Effective Rates'!I18</f>
        <v>0</v>
      </c>
      <c r="F14" s="144">
        <f>'Effective Rates'!F18</f>
        <v>0</v>
      </c>
      <c r="G14" s="144">
        <f>'Effective Rates'!K18</f>
        <v>0</v>
      </c>
      <c r="H14" s="144">
        <f>'Effective Rates'!L18</f>
        <v>0</v>
      </c>
      <c r="I14" s="144">
        <f>'Effective Rates'!M18</f>
        <v>0</v>
      </c>
      <c r="J14" s="154">
        <f>'Effective Rates'!P18</f>
        <v>0</v>
      </c>
    </row>
    <row r="15" spans="2:10">
      <c r="B15" s="420" t="str">
        <f>'Effective Rates'!D19</f>
        <v>Other</v>
      </c>
      <c r="C15" s="421"/>
      <c r="D15" s="153">
        <f>'Effective Rates'!H19</f>
        <v>0</v>
      </c>
      <c r="E15" s="143">
        <f>'Effective Rates'!I19</f>
        <v>0</v>
      </c>
      <c r="F15" s="144">
        <f>'Effective Rates'!F19</f>
        <v>0</v>
      </c>
      <c r="G15" s="144">
        <f>'Effective Rates'!K19</f>
        <v>0</v>
      </c>
      <c r="H15" s="144">
        <f>'Effective Rates'!L19</f>
        <v>0</v>
      </c>
      <c r="I15" s="144">
        <f>'Effective Rates'!M19</f>
        <v>0</v>
      </c>
      <c r="J15" s="154">
        <f>'Effective Rates'!P19</f>
        <v>0</v>
      </c>
    </row>
    <row r="16" spans="2:10">
      <c r="B16" s="420">
        <f>'Effective Rates'!D20</f>
        <v>0</v>
      </c>
      <c r="C16" s="421"/>
      <c r="D16" s="153">
        <f>'Effective Rates'!H20</f>
        <v>0</v>
      </c>
      <c r="E16" s="143">
        <f>'Effective Rates'!I20</f>
        <v>0</v>
      </c>
      <c r="F16" s="144">
        <f>'Effective Rates'!F20</f>
        <v>1E-4</v>
      </c>
      <c r="G16" s="144">
        <f>'Effective Rates'!K20</f>
        <v>0</v>
      </c>
      <c r="H16" s="144">
        <f>'Effective Rates'!L20</f>
        <v>0</v>
      </c>
      <c r="I16" s="144">
        <f>'Effective Rates'!M20</f>
        <v>0</v>
      </c>
      <c r="J16" s="154">
        <f>'Effective Rates'!P20</f>
        <v>0</v>
      </c>
    </row>
    <row r="17" spans="2:10">
      <c r="B17" s="412"/>
      <c r="C17" s="412"/>
      <c r="D17" s="155"/>
      <c r="E17" s="156"/>
      <c r="F17" s="156"/>
      <c r="G17" s="154">
        <f>SUM(G11:G16)</f>
        <v>0</v>
      </c>
      <c r="H17" s="154">
        <f>SUM(H7:H9)+SUM(H11:H16)</f>
        <v>0</v>
      </c>
      <c r="I17" s="154">
        <f>SUM(I7:I16)</f>
        <v>0</v>
      </c>
      <c r="J17" s="154">
        <f>SUM(J7:J16)</f>
        <v>0</v>
      </c>
    </row>
    <row r="18" spans="2:10" ht="15" thickBot="1">
      <c r="B18" s="413"/>
      <c r="C18" s="414"/>
      <c r="D18" s="414"/>
      <c r="E18" s="414"/>
      <c r="F18" s="414"/>
      <c r="G18" s="414"/>
      <c r="H18" s="414"/>
      <c r="I18" s="415"/>
      <c r="J18" s="158"/>
    </row>
    <row r="19" spans="2:10" ht="15" thickBot="1">
      <c r="B19" s="416" t="s">
        <v>0</v>
      </c>
      <c r="C19" s="417"/>
      <c r="D19" s="160"/>
      <c r="E19" s="161" t="s">
        <v>12</v>
      </c>
      <c r="F19" s="161" t="s">
        <v>179</v>
      </c>
      <c r="G19" s="160"/>
      <c r="H19" s="418" t="s">
        <v>14</v>
      </c>
      <c r="I19" s="419"/>
      <c r="J19" s="161" t="s">
        <v>15</v>
      </c>
    </row>
    <row r="20" spans="2:10" ht="15" thickBot="1">
      <c r="B20" s="397" t="s">
        <v>18</v>
      </c>
      <c r="C20" s="399"/>
      <c r="D20" s="160"/>
      <c r="E20" s="163">
        <f>SUM(G7:G9)+G17</f>
        <v>0</v>
      </c>
      <c r="F20" s="164" t="e">
        <f>E20/J20</f>
        <v>#DIV/0!</v>
      </c>
      <c r="G20" s="300"/>
      <c r="H20" s="301">
        <f>SUM(H7:H9)+SUM(H11:H16)</f>
        <v>0</v>
      </c>
      <c r="I20" s="302" t="e">
        <f>1-F20</f>
        <v>#DIV/0!</v>
      </c>
      <c r="J20" s="298">
        <f>SUM(E20+H20)</f>
        <v>0</v>
      </c>
    </row>
    <row r="21" spans="2:10" ht="15" thickBot="1">
      <c r="B21" s="397" t="s">
        <v>87</v>
      </c>
      <c r="C21" s="399"/>
      <c r="D21" s="160"/>
      <c r="E21" s="167">
        <f>SUM('Effective Rates'!N7+'Effective Rates'!N21)</f>
        <v>0</v>
      </c>
      <c r="F21" s="164" t="e">
        <f>E21/J21</f>
        <v>#DIV/0!</v>
      </c>
      <c r="G21" s="300"/>
      <c r="H21" s="303">
        <f>J17-E21</f>
        <v>0</v>
      </c>
      <c r="I21" s="304" t="e">
        <f>1-F21</f>
        <v>#DIV/0!</v>
      </c>
      <c r="J21" s="298">
        <f>SUM(E21+H21)</f>
        <v>0</v>
      </c>
    </row>
  </sheetData>
  <sheetProtection sheet="1" objects="1" scenarios="1"/>
  <mergeCells count="21">
    <mergeCell ref="B21:C21"/>
    <mergeCell ref="B6:J6"/>
    <mergeCell ref="B10:J10"/>
    <mergeCell ref="B17:C17"/>
    <mergeCell ref="B18:I18"/>
    <mergeCell ref="B19:C19"/>
    <mergeCell ref="H19:I19"/>
    <mergeCell ref="B20:C20"/>
    <mergeCell ref="B11:C11"/>
    <mergeCell ref="B12:C12"/>
    <mergeCell ref="B13:C13"/>
    <mergeCell ref="B14:C14"/>
    <mergeCell ref="B15:C15"/>
    <mergeCell ref="B16:C16"/>
    <mergeCell ref="B7:C7"/>
    <mergeCell ref="B8:C8"/>
    <mergeCell ref="B9:C9"/>
    <mergeCell ref="B2:J2"/>
    <mergeCell ref="B3:J3"/>
    <mergeCell ref="B4:C5"/>
    <mergeCell ref="J4:J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T66"/>
  <sheetViews>
    <sheetView tabSelected="1" zoomScale="130" zoomScaleNormal="130" workbookViewId="0">
      <selection activeCell="C44" sqref="C44"/>
    </sheetView>
  </sheetViews>
  <sheetFormatPr defaultColWidth="0" defaultRowHeight="14.4" zeroHeight="1"/>
  <cols>
    <col min="1" max="1" width="2.6640625" customWidth="1"/>
    <col min="2" max="2" width="16.33203125" customWidth="1"/>
    <col min="3" max="3" width="27.6640625" customWidth="1"/>
    <col min="4" max="4" width="16.6640625" customWidth="1"/>
    <col min="5" max="5" width="17.33203125" customWidth="1"/>
    <col min="6" max="6" width="19.6640625" customWidth="1"/>
    <col min="7" max="7" width="3.5546875" customWidth="1"/>
    <col min="8" max="8" width="9.109375" customWidth="1"/>
    <col min="9" max="9" width="25.33203125" customWidth="1"/>
    <col min="10" max="10" width="16.44140625" customWidth="1"/>
    <col min="11" max="11" width="9.109375" customWidth="1"/>
    <col min="12" max="16384" width="9.109375" hidden="1"/>
  </cols>
  <sheetData>
    <row r="1" spans="2:11"/>
    <row r="2" spans="2:11" hidden="1">
      <c r="B2" s="443" t="s">
        <v>77</v>
      </c>
      <c r="C2" s="443"/>
      <c r="D2" s="443"/>
    </row>
    <row r="3" spans="2:11" hidden="1">
      <c r="B3" s="378" t="s">
        <v>78</v>
      </c>
      <c r="C3" s="378"/>
      <c r="D3" s="378"/>
      <c r="E3" s="7">
        <f>Sheet1!C37</f>
        <v>0</v>
      </c>
    </row>
    <row r="5" spans="2:11" hidden="1">
      <c r="B5" s="443" t="s">
        <v>79</v>
      </c>
      <c r="C5" s="443"/>
      <c r="D5" s="443"/>
      <c r="H5" s="8"/>
      <c r="I5" s="8"/>
      <c r="J5" s="8"/>
      <c r="K5" s="8"/>
    </row>
    <row r="6" spans="2:11" hidden="1">
      <c r="B6" s="441" t="s">
        <v>80</v>
      </c>
      <c r="C6" s="378"/>
      <c r="D6" s="378"/>
      <c r="E6" s="9">
        <f>IF(Calibration!D4=1,1,5)</f>
        <v>1</v>
      </c>
    </row>
    <row r="7" spans="2:11" hidden="1">
      <c r="B7" s="441" t="s">
        <v>81</v>
      </c>
      <c r="C7" s="378"/>
      <c r="D7" s="378"/>
      <c r="E7" s="9">
        <f>E6</f>
        <v>1</v>
      </c>
    </row>
    <row r="8" spans="2:11" hidden="1">
      <c r="B8" s="441" t="s">
        <v>82</v>
      </c>
      <c r="C8" s="378"/>
      <c r="D8" s="378"/>
      <c r="E8" s="9">
        <f>IF(Calibration!D4=1,1,2)</f>
        <v>1</v>
      </c>
    </row>
    <row r="11" spans="2:11" hidden="1">
      <c r="B11" s="442" t="s">
        <v>83</v>
      </c>
      <c r="C11" s="442"/>
      <c r="D11" s="442"/>
    </row>
    <row r="12" spans="2:11" hidden="1">
      <c r="B12" s="436" t="s">
        <v>84</v>
      </c>
      <c r="C12" s="437"/>
      <c r="D12" s="438"/>
      <c r="E12" s="3">
        <f>Sheet1!C28</f>
        <v>0</v>
      </c>
      <c r="F12" s="12"/>
      <c r="H12" s="11"/>
      <c r="I12" s="10"/>
    </row>
    <row r="13" spans="2:11" hidden="1">
      <c r="B13" s="2" t="s">
        <v>12</v>
      </c>
      <c r="C13" s="4">
        <f>Sheet1!J17</f>
        <v>0</v>
      </c>
      <c r="D13" s="5">
        <f>IF(E12&gt;0,1-D14,0)</f>
        <v>0</v>
      </c>
      <c r="E13" s="11"/>
      <c r="H13" s="11"/>
      <c r="I13" s="10"/>
    </row>
    <row r="14" spans="2:11" hidden="1">
      <c r="B14" s="2" t="s">
        <v>14</v>
      </c>
      <c r="C14" s="4">
        <f>SUM(Sheet1!K17:K18)</f>
        <v>0</v>
      </c>
      <c r="D14" s="5">
        <f>IF(E12&gt;0,C14/C15,0)</f>
        <v>0</v>
      </c>
    </row>
    <row r="15" spans="2:11" hidden="1">
      <c r="B15" s="13" t="s">
        <v>15</v>
      </c>
      <c r="C15" s="1">
        <f>SUM(C13:C14)</f>
        <v>0</v>
      </c>
      <c r="D15" s="6"/>
    </row>
    <row r="18" spans="2:20" ht="15" thickBot="1">
      <c r="B18" s="8" t="s">
        <v>69</v>
      </c>
    </row>
    <row r="19" spans="2:20" ht="15" thickBot="1">
      <c r="B19" s="439" t="s">
        <v>85</v>
      </c>
      <c r="C19" s="440"/>
      <c r="D19" s="22" t="s">
        <v>12</v>
      </c>
      <c r="E19" s="22" t="s">
        <v>14</v>
      </c>
      <c r="F19" s="22" t="s">
        <v>15</v>
      </c>
    </row>
    <row r="20" spans="2:20" ht="15.75" customHeight="1" thickBot="1">
      <c r="B20" s="429" t="s">
        <v>86</v>
      </c>
      <c r="C20" s="430"/>
      <c r="D20" s="430"/>
      <c r="E20" s="430"/>
      <c r="F20" s="431"/>
      <c r="P20" s="290"/>
      <c r="Q20">
        <v>1000</v>
      </c>
      <c r="R20" s="208">
        <v>0.15</v>
      </c>
      <c r="S20">
        <f>Q20*R20</f>
        <v>150</v>
      </c>
      <c r="T20">
        <f>SUM(Q20+S20)</f>
        <v>1150</v>
      </c>
    </row>
    <row r="21" spans="2:20" ht="15" thickBot="1">
      <c r="B21" s="14">
        <v>100</v>
      </c>
      <c r="C21" s="15" t="s">
        <v>18</v>
      </c>
      <c r="D21" s="16">
        <f>'Cat 100-200'!E20</f>
        <v>0</v>
      </c>
      <c r="E21" s="16">
        <f>'Cat 100-200'!H20</f>
        <v>0</v>
      </c>
      <c r="F21" s="17">
        <f>SUM(D21:E21)</f>
        <v>0</v>
      </c>
      <c r="Q21">
        <v>900</v>
      </c>
      <c r="R21" s="208">
        <v>0.15</v>
      </c>
      <c r="S21">
        <f t="shared" ref="S21:S24" si="0">Q21*R21</f>
        <v>135</v>
      </c>
      <c r="T21">
        <f t="shared" ref="T21:T24" si="1">SUM(Q21+S21)</f>
        <v>1035</v>
      </c>
    </row>
    <row r="22" spans="2:20" ht="14.25" customHeight="1" thickBot="1">
      <c r="B22" s="14">
        <v>200</v>
      </c>
      <c r="C22" s="15" t="s">
        <v>87</v>
      </c>
      <c r="D22" s="16">
        <f>'Cat 100-200'!E21</f>
        <v>0</v>
      </c>
      <c r="E22" s="16">
        <f>'Cat 100-200'!H21</f>
        <v>0</v>
      </c>
      <c r="F22" s="17">
        <f>SUM(D22:E22)</f>
        <v>0</v>
      </c>
      <c r="Q22">
        <v>869</v>
      </c>
      <c r="R22" s="208">
        <v>0.15</v>
      </c>
      <c r="S22">
        <f t="shared" si="0"/>
        <v>130.35</v>
      </c>
      <c r="T22">
        <f t="shared" si="1"/>
        <v>999.35</v>
      </c>
    </row>
    <row r="23" spans="2:20" ht="15" thickBot="1">
      <c r="B23" s="434" t="s">
        <v>88</v>
      </c>
      <c r="C23" s="435"/>
      <c r="D23" s="17">
        <f>SUM(D21:D22)</f>
        <v>0</v>
      </c>
      <c r="E23" s="17">
        <f>SUM(E21:E22)</f>
        <v>0</v>
      </c>
      <c r="F23" s="17">
        <f>SUM(D23:E23)</f>
        <v>0</v>
      </c>
      <c r="Q23">
        <v>1000</v>
      </c>
      <c r="R23" s="208">
        <v>0.15</v>
      </c>
      <c r="S23">
        <f t="shared" si="0"/>
        <v>150</v>
      </c>
      <c r="T23">
        <f t="shared" si="1"/>
        <v>1150</v>
      </c>
    </row>
    <row r="24" spans="2:20" ht="15.75" customHeight="1" thickBot="1">
      <c r="B24" s="429" t="s">
        <v>89</v>
      </c>
      <c r="C24" s="430"/>
      <c r="D24" s="430"/>
      <c r="E24" s="430"/>
      <c r="F24" s="431"/>
      <c r="Q24">
        <v>1000</v>
      </c>
      <c r="R24" s="208">
        <v>0.15</v>
      </c>
      <c r="S24">
        <f t="shared" si="0"/>
        <v>150</v>
      </c>
      <c r="T24">
        <f t="shared" si="1"/>
        <v>1150</v>
      </c>
    </row>
    <row r="25" spans="2:20" ht="15.75" customHeight="1" thickBot="1">
      <c r="B25" s="14">
        <v>300</v>
      </c>
      <c r="C25" s="15" t="s">
        <v>159</v>
      </c>
      <c r="D25" s="16">
        <f>Sheet1!J17</f>
        <v>0</v>
      </c>
      <c r="E25" s="16">
        <f>Sheet1!K16</f>
        <v>0</v>
      </c>
      <c r="F25" s="17">
        <f>SUM(D25:E25)</f>
        <v>0</v>
      </c>
    </row>
    <row r="26" spans="2:20" ht="17.25" customHeight="1" thickBot="1">
      <c r="B26" s="14" t="s">
        <v>187</v>
      </c>
      <c r="C26" s="15" t="s">
        <v>188</v>
      </c>
      <c r="D26" s="16">
        <f>Sheet1!J19</f>
        <v>0</v>
      </c>
      <c r="E26" s="16">
        <f>SUM(Sheet1!K19:K20)</f>
        <v>0</v>
      </c>
      <c r="F26" s="17">
        <f>SUM(D26:E26)</f>
        <v>0</v>
      </c>
    </row>
    <row r="27" spans="2:20" ht="15" thickBot="1">
      <c r="B27" s="434" t="s">
        <v>90</v>
      </c>
      <c r="C27" s="435"/>
      <c r="D27" s="17">
        <f>SUM(D25:D26)</f>
        <v>0</v>
      </c>
      <c r="E27" s="17">
        <f>SUM(E25:E26)</f>
        <v>0</v>
      </c>
      <c r="F27" s="17">
        <f>SUM(D27:E27)</f>
        <v>0</v>
      </c>
    </row>
    <row r="28" spans="2:20" ht="15" thickBot="1">
      <c r="B28" s="432" t="s">
        <v>91</v>
      </c>
      <c r="C28" s="433"/>
      <c r="D28" s="18">
        <f>SUM(D23+D27)</f>
        <v>0</v>
      </c>
      <c r="E28" s="18">
        <f>SUM(E23+E27)</f>
        <v>0</v>
      </c>
      <c r="F28" s="18">
        <f>SUM(F23+F27)</f>
        <v>0</v>
      </c>
      <c r="I28" s="426" t="s">
        <v>221</v>
      </c>
      <c r="J28" s="426"/>
    </row>
    <row r="29" spans="2:20" ht="15" thickBot="1">
      <c r="B29" s="429" t="s">
        <v>92</v>
      </c>
      <c r="C29" s="430"/>
      <c r="D29" s="430"/>
      <c r="E29" s="430"/>
      <c r="F29" s="431"/>
      <c r="I29" s="292" t="s">
        <v>209</v>
      </c>
      <c r="J29" s="288">
        <f>F28</f>
        <v>0</v>
      </c>
    </row>
    <row r="30" spans="2:20" ht="15" thickBot="1">
      <c r="B30" s="14">
        <v>800</v>
      </c>
      <c r="C30" s="15" t="s">
        <v>64</v>
      </c>
      <c r="D30" s="16">
        <f>Sheet1!J21</f>
        <v>0</v>
      </c>
      <c r="E30" s="16">
        <f>Sheet1!K21</f>
        <v>0</v>
      </c>
      <c r="F30" s="17">
        <f>SUM(D30:E30)</f>
        <v>0</v>
      </c>
      <c r="I30" s="292" t="s">
        <v>210</v>
      </c>
      <c r="J30" s="288">
        <f>E28</f>
        <v>0</v>
      </c>
    </row>
    <row r="31" spans="2:20" ht="15" thickBot="1">
      <c r="B31" s="429" t="s">
        <v>93</v>
      </c>
      <c r="C31" s="430"/>
      <c r="D31" s="430"/>
      <c r="E31" s="430"/>
      <c r="F31" s="431"/>
      <c r="I31" s="292" t="s">
        <v>211</v>
      </c>
      <c r="J31" s="288">
        <f>D28</f>
        <v>0</v>
      </c>
    </row>
    <row r="32" spans="2:20" ht="15" thickBot="1">
      <c r="B32" s="19" t="s">
        <v>98</v>
      </c>
      <c r="C32" s="20" t="s">
        <v>94</v>
      </c>
      <c r="D32" s="17">
        <f>D23</f>
        <v>0</v>
      </c>
      <c r="E32" s="17">
        <f>E23</f>
        <v>0</v>
      </c>
      <c r="F32" s="17">
        <f>F23</f>
        <v>0</v>
      </c>
      <c r="I32" s="292" t="s">
        <v>212</v>
      </c>
      <c r="J32" s="288">
        <f>J31*Calibration!D15</f>
        <v>0</v>
      </c>
    </row>
    <row r="33" spans="2:10" ht="15" thickBot="1">
      <c r="B33" s="19" t="s">
        <v>99</v>
      </c>
      <c r="C33" s="20" t="s">
        <v>91</v>
      </c>
      <c r="D33" s="17">
        <f>D27</f>
        <v>0</v>
      </c>
      <c r="E33" s="17">
        <f t="shared" ref="E33:F33" si="2">E27</f>
        <v>0</v>
      </c>
      <c r="F33" s="17">
        <f t="shared" si="2"/>
        <v>0</v>
      </c>
      <c r="I33" s="427" t="s">
        <v>222</v>
      </c>
      <c r="J33" s="428"/>
    </row>
    <row r="34" spans="2:10" ht="15" thickBot="1">
      <c r="B34" s="19" t="s">
        <v>100</v>
      </c>
      <c r="C34" s="20" t="s">
        <v>95</v>
      </c>
      <c r="D34" s="17">
        <f>D30</f>
        <v>0</v>
      </c>
      <c r="E34" s="17">
        <f t="shared" ref="E34:F34" si="3">E30</f>
        <v>0</v>
      </c>
      <c r="F34" s="17">
        <f t="shared" si="3"/>
        <v>0</v>
      </c>
      <c r="I34" s="292" t="s">
        <v>12</v>
      </c>
      <c r="J34" s="288">
        <f>J32-J35</f>
        <v>0</v>
      </c>
    </row>
    <row r="35" spans="2:10" ht="15" thickBot="1">
      <c r="B35" s="432" t="s">
        <v>96</v>
      </c>
      <c r="C35" s="433"/>
      <c r="D35" s="18">
        <f>SUM(D32:D34)</f>
        <v>0</v>
      </c>
      <c r="E35" s="18">
        <f>SUM(E32:E34)</f>
        <v>0</v>
      </c>
      <c r="F35" s="18">
        <f>SUM(F32:F34)</f>
        <v>0</v>
      </c>
      <c r="I35" s="292" t="s">
        <v>14</v>
      </c>
      <c r="J35" s="288">
        <f>J32*Calibration!D16</f>
        <v>0</v>
      </c>
    </row>
    <row r="36" spans="2:10" ht="15" thickBot="1">
      <c r="B36" s="21"/>
      <c r="C36" s="15" t="s">
        <v>97</v>
      </c>
      <c r="D36" s="23" t="e">
        <f>D35/F35</f>
        <v>#DIV/0!</v>
      </c>
      <c r="E36" s="23" t="e">
        <f>1-D36</f>
        <v>#DIV/0!</v>
      </c>
      <c r="F36" s="126" t="e">
        <f>SUM(D36:E36)</f>
        <v>#DIV/0!</v>
      </c>
    </row>
    <row r="37" spans="2:10"/>
    <row r="40" spans="2:10"/>
    <row r="41" spans="2:10"/>
    <row r="42" spans="2:10"/>
    <row r="43" spans="2:10"/>
    <row r="44" spans="2:10"/>
    <row r="45" spans="2:10"/>
    <row r="46" spans="2:10"/>
    <row r="47" spans="2:10"/>
    <row r="48" spans="2:10"/>
    <row r="49"/>
    <row r="50"/>
    <row r="51"/>
    <row r="52"/>
    <row r="53"/>
    <row r="54"/>
    <row r="55"/>
    <row r="56"/>
    <row r="57"/>
    <row r="58"/>
    <row r="59"/>
    <row r="60"/>
    <row r="61"/>
    <row r="62"/>
    <row r="63"/>
    <row r="64"/>
    <row r="65"/>
    <row r="66"/>
  </sheetData>
  <sheetProtection sheet="1" objects="1" scenarios="1"/>
  <mergeCells count="19">
    <mergeCell ref="B8:D8"/>
    <mergeCell ref="B11:D11"/>
    <mergeCell ref="B2:D2"/>
    <mergeCell ref="B3:D3"/>
    <mergeCell ref="B5:D5"/>
    <mergeCell ref="B6:D6"/>
    <mergeCell ref="B7:D7"/>
    <mergeCell ref="B12:D12"/>
    <mergeCell ref="B19:C19"/>
    <mergeCell ref="B20:F20"/>
    <mergeCell ref="B24:F24"/>
    <mergeCell ref="B28:C28"/>
    <mergeCell ref="I28:J28"/>
    <mergeCell ref="I33:J33"/>
    <mergeCell ref="B31:F31"/>
    <mergeCell ref="B35:C35"/>
    <mergeCell ref="B23:C23"/>
    <mergeCell ref="B27:C27"/>
    <mergeCell ref="B29:F29"/>
  </mergeCells>
  <pageMargins left="0.7" right="0.7" top="0.75" bottom="0.75" header="0.3" footer="0.3"/>
  <pageSetup orientation="portrait" verticalDpi="300" r:id="rId1"/>
  <extLst>
    <ext xmlns:x14="http://schemas.microsoft.com/office/spreadsheetml/2009/9/main" uri="{78C0D931-6437-407d-A8EE-F0AAD7539E65}">
      <x14:conditionalFormattings>
        <x14:conditionalFormatting xmlns:xm="http://schemas.microsoft.com/office/excel/2006/main">
          <x14:cfRule type="cellIs" priority="1" operator="greaterThan" id="{41544A3B-A368-4E30-BA1A-82EAB5F4388D}">
            <xm:f>Calibration!$D$3</xm:f>
            <x14:dxf>
              <font>
                <color rgb="FF9C0006"/>
              </font>
              <fill>
                <patternFill>
                  <bgColor rgb="FFFFC7CE"/>
                </patternFill>
              </fill>
            </x14:dxf>
          </x14:cfRule>
          <xm:sqref>D35</xm:sqref>
        </x14:conditionalFormatting>
        <x14:conditionalFormatting xmlns:xm="http://schemas.microsoft.com/office/excel/2006/main">
          <x14:cfRule type="cellIs" priority="2" operator="greaterThan" id="{404DECAD-8793-4BCF-80E7-688A95660115}">
            <xm:f>Calibration!$D$3</xm:f>
            <x14:dxf>
              <font>
                <color rgb="FF9C0006"/>
              </font>
              <fill>
                <patternFill>
                  <bgColor rgb="FFFFC7CE"/>
                </patternFill>
              </fill>
            </x14:dxf>
          </x14:cfRule>
          <xm:sqref>J31</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06497-4067-4CA6-A216-CEDBA39306A4}">
  <sheetPr>
    <tabColor rgb="FF7030A0"/>
  </sheetPr>
  <dimension ref="A3:F29"/>
  <sheetViews>
    <sheetView topLeftCell="A3" zoomScale="140" zoomScaleNormal="140" workbookViewId="0">
      <selection activeCell="F21" sqref="F21"/>
    </sheetView>
  </sheetViews>
  <sheetFormatPr defaultColWidth="0" defaultRowHeight="14.4" zeroHeight="1"/>
  <cols>
    <col min="1" max="1" width="9.109375" customWidth="1"/>
    <col min="2" max="2" width="38" customWidth="1"/>
    <col min="3" max="3" width="14.88671875" customWidth="1"/>
    <col min="4" max="4" width="14.33203125" customWidth="1"/>
    <col min="5" max="5" width="13.6640625" customWidth="1"/>
    <col min="6" max="6" width="9.109375" customWidth="1"/>
    <col min="7" max="16384" width="9.109375" hidden="1"/>
  </cols>
  <sheetData>
    <row r="3" spans="2:5"/>
    <row r="4" spans="2:5">
      <c r="B4" t="s">
        <v>223</v>
      </c>
      <c r="C4" s="9">
        <f>'Negotiation Tool'!C3</f>
        <v>0</v>
      </c>
    </row>
    <row r="5" spans="2:5">
      <c r="B5" t="s">
        <v>224</v>
      </c>
      <c r="C5" s="9">
        <f>'Negotiation Tool'!C4</f>
        <v>0</v>
      </c>
    </row>
    <row r="6" spans="2:5">
      <c r="B6" t="s">
        <v>225</v>
      </c>
      <c r="C6" s="9">
        <f>'Negotiation Tool'!C5</f>
        <v>0</v>
      </c>
    </row>
    <row r="7" spans="2:5">
      <c r="B7" t="s">
        <v>226</v>
      </c>
      <c r="C7" s="9">
        <f>'Negotiation Tool'!C6</f>
        <v>0</v>
      </c>
    </row>
    <row r="8" spans="2:5">
      <c r="B8" t="s">
        <v>227</v>
      </c>
      <c r="C8" s="9">
        <f>'Negotiation Tool'!C7</f>
        <v>0</v>
      </c>
    </row>
    <row r="9" spans="2:5">
      <c r="B9" t="s">
        <v>228</v>
      </c>
      <c r="C9" s="288">
        <f>'Negotiation Tool'!C8</f>
        <v>0</v>
      </c>
    </row>
    <row r="10" spans="2:5">
      <c r="B10" t="s">
        <v>229</v>
      </c>
      <c r="C10" s="299">
        <f>'Negotiation Tool'!C9</f>
        <v>0</v>
      </c>
    </row>
    <row r="11" spans="2:5">
      <c r="B11" t="s">
        <v>230</v>
      </c>
      <c r="C11" s="288">
        <f>'Negotiation Tool'!C10</f>
        <v>0</v>
      </c>
    </row>
    <row r="12" spans="2:5"/>
    <row r="13" spans="2:5" ht="15" thickBot="1"/>
    <row r="14" spans="2:5">
      <c r="C14" s="319" t="s">
        <v>232</v>
      </c>
      <c r="D14" s="319" t="s">
        <v>194</v>
      </c>
      <c r="E14" s="319" t="s">
        <v>195</v>
      </c>
    </row>
    <row r="15" spans="2:5">
      <c r="B15" t="s">
        <v>238</v>
      </c>
      <c r="C15" s="313">
        <f>'Negotiation Tool'!C13</f>
        <v>1</v>
      </c>
      <c r="D15" s="313">
        <v>4</v>
      </c>
      <c r="E15" s="313">
        <v>12</v>
      </c>
    </row>
    <row r="16" spans="2:5">
      <c r="B16" t="s">
        <v>231</v>
      </c>
      <c r="C16" s="313">
        <f>C6*C7*C8*C15</f>
        <v>0</v>
      </c>
      <c r="D16" s="313">
        <f>C6*C7*C8*D15</f>
        <v>0</v>
      </c>
      <c r="E16" s="313">
        <f>C6*C7*C8*E15</f>
        <v>0</v>
      </c>
    </row>
    <row r="17" spans="2:5">
      <c r="B17" t="s">
        <v>233</v>
      </c>
      <c r="C17" s="320">
        <f>C16*C11</f>
        <v>0</v>
      </c>
      <c r="D17" s="320">
        <f>C11*D16</f>
        <v>0</v>
      </c>
      <c r="E17" s="320">
        <f>C11*E16</f>
        <v>0</v>
      </c>
    </row>
    <row r="18" spans="2:5">
      <c r="B18" t="str">
        <f>'Negotiation Tool'!B16</f>
        <v>Minimum 15% eGrants match</v>
      </c>
      <c r="C18" s="320">
        <f>'Negotiation Tool'!C16</f>
        <v>0</v>
      </c>
      <c r="D18" s="320">
        <f>'Negotiation Tool'!D16</f>
        <v>0</v>
      </c>
      <c r="E18" s="320">
        <f>'Negotiation Tool'!E16</f>
        <v>0</v>
      </c>
    </row>
    <row r="19" spans="2:5" hidden="1">
      <c r="B19" t="s">
        <v>239</v>
      </c>
      <c r="C19" s="321">
        <f>ROUND(C16/40,0)</f>
        <v>0</v>
      </c>
      <c r="D19" s="321">
        <f>ROUND(D16/220,0)</f>
        <v>0</v>
      </c>
      <c r="E19" s="321">
        <f>ROUND(E16/480,0)</f>
        <v>0</v>
      </c>
    </row>
    <row r="20" spans="2:5" ht="15" thickBot="1">
      <c r="B20" t="s">
        <v>240</v>
      </c>
      <c r="C20" s="323">
        <f>IF(C19&lt;2,2,C19)</f>
        <v>2</v>
      </c>
      <c r="D20" s="323">
        <f t="shared" ref="D20" si="0">IF(D19&lt;2,2,D19)</f>
        <v>2</v>
      </c>
      <c r="E20" s="323">
        <f t="shared" ref="E20" si="1">IF(E19&lt;2,2,E19)</f>
        <v>2</v>
      </c>
    </row>
    <row r="21" spans="2:5">
      <c r="B21" s="327" t="s">
        <v>234</v>
      </c>
      <c r="C21" s="338" t="e">
        <f>C5*(C5/C4)*0.08</f>
        <v>#DIV/0!</v>
      </c>
      <c r="D21" s="338" t="e">
        <f>C21</f>
        <v>#DIV/0!</v>
      </c>
      <c r="E21" s="328" t="e">
        <f>ROUNDDOWN(D21,0)</f>
        <v>#DIV/0!</v>
      </c>
    </row>
    <row r="22" spans="2:5">
      <c r="B22" s="339" t="s">
        <v>235</v>
      </c>
      <c r="C22" s="324">
        <v>13</v>
      </c>
      <c r="D22" s="324">
        <f>C22</f>
        <v>13</v>
      </c>
      <c r="E22" s="330">
        <f>D22</f>
        <v>13</v>
      </c>
    </row>
    <row r="23" spans="2:5">
      <c r="B23" s="329" t="s">
        <v>236</v>
      </c>
      <c r="C23" s="324" t="e">
        <f>ROUNDUP(C21*C22*C15,0)</f>
        <v>#DIV/0!</v>
      </c>
      <c r="D23" s="324" t="e">
        <f>ROUNDUP(D21*D22*D15,0)</f>
        <v>#DIV/0!</v>
      </c>
      <c r="E23" s="330" t="e">
        <f>ROUNDUP(E21*E22*E15,0)</f>
        <v>#DIV/0!</v>
      </c>
    </row>
    <row r="24" spans="2:5">
      <c r="B24" s="329" t="s">
        <v>237</v>
      </c>
      <c r="C24" s="325" t="e">
        <f>C23*C11</f>
        <v>#DIV/0!</v>
      </c>
      <c r="D24" s="325" t="e">
        <f>D23*C11</f>
        <v>#DIV/0!</v>
      </c>
      <c r="E24" s="331" t="e">
        <f>E23*C11</f>
        <v>#DIV/0!</v>
      </c>
    </row>
    <row r="25" spans="2:5">
      <c r="B25" s="329" t="str">
        <f>B18</f>
        <v>Minimum 15% eGrants match</v>
      </c>
      <c r="C25" s="325" t="e">
        <f>C24*Calibration!D41</f>
        <v>#DIV/0!</v>
      </c>
      <c r="D25" s="325" t="e">
        <f>D24*Calibration!D41</f>
        <v>#DIV/0!</v>
      </c>
      <c r="E25" s="331" t="e">
        <f>E24*Calibration!D41</f>
        <v>#DIV/0!</v>
      </c>
    </row>
    <row r="26" spans="2:5" hidden="1">
      <c r="B26" s="329" t="s">
        <v>239</v>
      </c>
      <c r="C26" s="326" t="e">
        <f>ROUND(C23/40,0)</f>
        <v>#DIV/0!</v>
      </c>
      <c r="D26" s="326" t="e">
        <f>ROUND(D23/220,0)</f>
        <v>#DIV/0!</v>
      </c>
      <c r="E26" s="332" t="e">
        <f>ROUND(E23/480,0)</f>
        <v>#DIV/0!</v>
      </c>
    </row>
    <row r="27" spans="2:5" ht="15" thickBot="1">
      <c r="B27" s="333" t="s">
        <v>240</v>
      </c>
      <c r="C27" s="334" t="e">
        <f>IF(C26&lt;2,2,C26)</f>
        <v>#DIV/0!</v>
      </c>
      <c r="D27" s="334" t="e">
        <f t="shared" ref="D27" si="2">IF(D26&lt;2,2,D26)</f>
        <v>#DIV/0!</v>
      </c>
      <c r="E27" s="335" t="e">
        <f t="shared" ref="E27" si="3">IF(E26&lt;2,2,E26)</f>
        <v>#DIV/0!</v>
      </c>
    </row>
    <row r="28" spans="2:5"/>
    <row r="29" spans="2:5"/>
  </sheetData>
  <sheetProtection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g 0 v P V q n 1 e S O l A A A A 9 g A A A B I A H A B D b 2 5 m a W c v U G F j a 2 F n Z S 5 4 b W w g o h g A K K A U A A A A A A A A A A A A A A A A A A A A A A A A A A A A h Y + x D o I w G I R f h X S n L S V R Q 3 7 K 4 C q J C d G 4 N q V C I x R D i + X d H H w k X 0 G M o m 6 O d / d d c n e / 3 i A b 2 y a 4 q N 7 q z q Q o w h Q F y s i u 1 K Z K 0 e C O 4 Q p l H L Z C n k S l g g k 2 N h m t T l H t 3 D k h x H u P f Y y 7 v i K M 0 o g c 8 k 0 h a 9 W K U B v r h J E K f V r l / x b i s H + N 4 Q x H 0 R L H C 4 Y p k N m E X J s v w K a 9 z / T H h P X Q u K F X X J l w V w C Z J Z D 3 B / 4 A U E s D B B Q A A g A I A I N L z 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D S 8 9 W K I p H u A 4 A A A A R A A A A E w A c A E Z v c m 1 1 b G F z L 1 N l Y 3 R p b 2 4 x L m 0 g o h g A K K A U A A A A A A A A A A A A A A A A A A A A A A A A A A A A K 0 5 N L s n M z 1 M I h t C G 1 g B Q S w E C L Q A U A A I A C A C D S 8 9 W q f V 5 I 6 U A A A D 2 A A A A E g A A A A A A A A A A A A A A A A A A A A A A Q 2 9 u Z m l n L 1 B h Y 2 t h Z 2 U u e G 1 s U E s B A i 0 A F A A C A A g A g 0 v P V g / K 6 a u k A A A A 6 Q A A A B M A A A A A A A A A A A A A A A A A 8 Q A A A F t D b 2 5 0 Z W 5 0 X 1 R 5 c G V z X S 5 4 b W x Q S w E C L Q A U A A I A C A C D S 8 9 W 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q 2 e A V j P h K 0 m 0 r K C 4 G 1 + N o A A A A A A C A A A A A A A Q Z g A A A A E A A C A A A A D F H J M 9 i r s O c 9 E 2 8 U 8 1 G 5 J H 1 q g Z B 7 l d D R H m B D p e x o m k x Q A A A A A O g A A A A A I A A C A A A A B S j I T H 4 l S j X r 3 q M m 8 n B z c A + b S A l V L v g R D b t 7 2 x s P W x x F A A A A A y G o + H a a 1 6 / O G v o V 2 U k v w U m 5 C u V W e T P y s N G h E f / f N X F 1 3 R 4 L U K f G a 4 + f a j t L p S W A / s z 8 s S w N q G W m N M Q k 1 7 C 9 Q S 1 p H G j I z K 8 h P + Z 8 t c f k t k N E A A A A B g i m V d A y g L 1 V v g 4 P 3 m Z A J u r h G R t 7 8 N S S m l G H J 8 o r + M a g h f N R t 3 A X B d K l k f N o d 7 G d 6 7 N I 6 R Z N f 0 x l o i N a 4 m n X 9 R < / D a t a M a s h u p > 
</file>

<file path=customXml/itemProps1.xml><?xml version="1.0" encoding="utf-8"?>
<ds:datastoreItem xmlns:ds="http://schemas.openxmlformats.org/officeDocument/2006/customXml" ds:itemID="{EE257F9A-5AF1-4465-AE6C-58091FE23743}">
  <ds:schemaRefs>
    <ds:schemaRef ds:uri="http://schemas.microsoft.com/DataMashup"/>
  </ds:schemaRefs>
</ds:datastoreItem>
</file>

<file path=docMetadata/LabelInfo.xml><?xml version="1.0" encoding="utf-8"?>
<clbl:labelList xmlns:clbl="http://schemas.microsoft.com/office/2020/mipLabelMetadata">
  <clbl:label id="{badb3bce-8160-476b-b906-73a2a2310e3e}" enabled="0" method="" siteId="{badb3bce-8160-476b-b906-73a2a2310e3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Negotiation Tool</vt:lpstr>
      <vt:lpstr>Calibration</vt:lpstr>
      <vt:lpstr>Sheet2</vt:lpstr>
      <vt:lpstr>Effective Rates</vt:lpstr>
      <vt:lpstr>Sheet3</vt:lpstr>
      <vt:lpstr>Sheet1</vt:lpstr>
      <vt:lpstr>Cat 100-200</vt:lpstr>
      <vt:lpstr>Budget Summary</vt:lpstr>
      <vt:lpstr>Estimation Tool</vt:lpstr>
      <vt:lpstr>Translation Tool</vt:lpstr>
      <vt:lpstr>Vehicle Operational Cost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Larry Krantz</dc:creator>
  <cp:lastModifiedBy>Larry Krantz</cp:lastModifiedBy>
  <dcterms:created xsi:type="dcterms:W3CDTF">2017-05-03T12:17:40Z</dcterms:created>
  <dcterms:modified xsi:type="dcterms:W3CDTF">2026-01-15T12:56:36Z</dcterms:modified>
</cp:coreProperties>
</file>